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AJUSTE\Permissionárias de Distribuição\2022\09- SETEMBRO\7  CODESAM - Cecília\Estrutura\"/>
    </mc:Choice>
  </mc:AlternateContent>
  <xr:revisionPtr revIDLastSave="0" documentId="13_ncr:1_{A049715A-3069-4012-810D-5D816000B172}" xr6:coauthVersionLast="47" xr6:coauthVersionMax="47" xr10:uidLastSave="{00000000-0000-0000-0000-000000000000}"/>
  <bookViews>
    <workbookView xWindow="21480" yWindow="-120" windowWidth="21840" windowHeight="13140" firstSheet="22" activeTab="29" xr2:uid="{52A825D0-08A7-4485-A398-282BA4F2211E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28" r:id="rId20"/>
    <sheet name="CONSISTENCIA" sheetId="21" r:id="rId21"/>
    <sheet name="TUSD" sheetId="23" r:id="rId22"/>
    <sheet name="TE" sheetId="24" r:id="rId23"/>
    <sheet name="RESUMO TUSD" sheetId="25" r:id="rId24"/>
    <sheet name="RESUMO TE" sheetId="26" r:id="rId25"/>
    <sheet name="Descontos" sheetId="20" r:id="rId26"/>
    <sheet name="ERD" sheetId="27" r:id="rId27"/>
    <sheet name="TA - Aplicação" sheetId="29" r:id="rId28"/>
    <sheet name="TA - BE" sheetId="30" r:id="rId29"/>
    <sheet name="TA - CVA" sheetId="31" r:id="rId30"/>
  </sheets>
  <definedNames>
    <definedName name="DadosExternos_1" localSheetId="27" hidden="1">'TA - Aplicação'!$B$3:$AT$49</definedName>
    <definedName name="DadosExternos_1" localSheetId="28" hidden="1">'TA - BE'!$B$3:$AT$49</definedName>
    <definedName name="DadosExternos_1" localSheetId="29" hidden="1">'TA - CVA'!$B$3:$AT$49</definedName>
  </definedNames>
  <calcPr calcId="191029"/>
  <pivotCaches>
    <pivotCache cacheId="25" r:id="rId31"/>
    <pivotCache cacheId="26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28" l="1"/>
  <c r="V32" i="28"/>
  <c r="V31" i="28"/>
  <c r="V30" i="28"/>
  <c r="V29" i="28"/>
  <c r="V28" i="28"/>
  <c r="V27" i="28"/>
  <c r="V26" i="28"/>
  <c r="V21" i="28"/>
  <c r="V16" i="28"/>
  <c r="V25" i="28"/>
  <c r="V20" i="28"/>
  <c r="V15" i="28"/>
  <c r="V24" i="28"/>
  <c r="V23" i="28"/>
  <c r="V22" i="28"/>
  <c r="V19" i="28"/>
  <c r="V18" i="28"/>
  <c r="V17" i="28"/>
  <c r="V14" i="28"/>
  <c r="V13" i="28"/>
  <c r="V12" i="28"/>
  <c r="V11" i="28"/>
  <c r="V9" i="28"/>
  <c r="V10" i="28"/>
  <c r="V8" i="28"/>
  <c r="V7" i="28"/>
  <c r="V6" i="28"/>
  <c r="V5" i="28"/>
  <c r="J11" i="28"/>
  <c r="J10" i="28"/>
  <c r="J6" i="28"/>
  <c r="J5" i="28"/>
  <c r="I3" i="27"/>
  <c r="B2" i="27"/>
  <c r="C2" i="27"/>
  <c r="D2" i="27"/>
  <c r="E2" i="27"/>
  <c r="F2" i="27"/>
  <c r="G2" i="27"/>
  <c r="H2" i="27"/>
  <c r="I2" i="27"/>
  <c r="J2" i="27"/>
  <c r="K2" i="27"/>
  <c r="L2" i="27"/>
  <c r="B11" i="27"/>
  <c r="P11" i="5" l="1"/>
  <c r="R11" i="5" s="1"/>
  <c r="P10" i="5"/>
  <c r="P9" i="5"/>
  <c r="F44" i="5"/>
  <c r="E44" i="5"/>
  <c r="D44" i="5"/>
  <c r="F26" i="5"/>
  <c r="E26" i="5"/>
  <c r="D26" i="5"/>
  <c r="F25" i="5"/>
  <c r="E25" i="5"/>
  <c r="D25" i="5"/>
  <c r="F24" i="5"/>
  <c r="E24" i="5"/>
  <c r="D24" i="5"/>
  <c r="D13" i="5"/>
  <c r="F39" i="5"/>
  <c r="F17" i="5"/>
  <c r="F16" i="5"/>
  <c r="F12" i="5"/>
  <c r="F11" i="5"/>
  <c r="M15" i="5"/>
  <c r="M7" i="5"/>
  <c r="E36" i="5" s="1"/>
  <c r="R10" i="5" l="1"/>
  <c r="R9" i="5"/>
  <c r="F36" i="5"/>
  <c r="D36" i="5"/>
  <c r="L5" i="26"/>
  <c r="K5" i="26"/>
  <c r="J5" i="26"/>
  <c r="I5" i="26"/>
  <c r="H5" i="26"/>
  <c r="G5" i="26"/>
  <c r="F5" i="26"/>
  <c r="E5" i="26"/>
  <c r="D5" i="26"/>
  <c r="C5" i="26"/>
  <c r="B5" i="26"/>
  <c r="I2" i="26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I2" i="25"/>
  <c r="AE13" i="21"/>
  <c r="AD13" i="21"/>
  <c r="AC13" i="21"/>
  <c r="AB13" i="21"/>
  <c r="AA13" i="21"/>
  <c r="W13" i="21"/>
  <c r="V13" i="21"/>
  <c r="U13" i="21"/>
  <c r="AI13" i="21" s="1"/>
  <c r="T13" i="21"/>
  <c r="S13" i="21"/>
  <c r="Y13" i="21" s="1"/>
  <c r="AG13" i="21" s="1"/>
  <c r="R13" i="21"/>
  <c r="AE12" i="21"/>
  <c r="AD12" i="21"/>
  <c r="AE8" i="21"/>
  <c r="AD8" i="21"/>
  <c r="AC8" i="21"/>
  <c r="AB8" i="21"/>
  <c r="AA8" i="21"/>
  <c r="W8" i="21"/>
  <c r="AJ8" i="21" s="1"/>
  <c r="V8" i="21"/>
  <c r="U8" i="21"/>
  <c r="AI8" i="21" s="1"/>
  <c r="T8" i="21"/>
  <c r="S8" i="21"/>
  <c r="Y8" i="21" s="1"/>
  <c r="R8" i="21"/>
  <c r="X8" i="21" s="1"/>
  <c r="AF8" i="21" s="1"/>
  <c r="AE7" i="21"/>
  <c r="AD7" i="21"/>
  <c r="AE6" i="21"/>
  <c r="AD6" i="21"/>
  <c r="AC6" i="21"/>
  <c r="AB6" i="21"/>
  <c r="AA6" i="21"/>
  <c r="W6" i="21"/>
  <c r="V6" i="21"/>
  <c r="U6" i="21"/>
  <c r="T6" i="21"/>
  <c r="S6" i="21"/>
  <c r="R6" i="21"/>
  <c r="X6" i="21" s="1"/>
  <c r="AF6" i="21" s="1"/>
  <c r="AE5" i="21"/>
  <c r="AD5" i="21"/>
  <c r="AC5" i="21"/>
  <c r="AB5" i="21"/>
  <c r="AA5" i="21"/>
  <c r="W5" i="21"/>
  <c r="V5" i="21"/>
  <c r="U5" i="21"/>
  <c r="AI5" i="21" s="1"/>
  <c r="T5" i="21"/>
  <c r="S5" i="21"/>
  <c r="Y5" i="21" s="1"/>
  <c r="AG5" i="21" s="1"/>
  <c r="R5" i="21"/>
  <c r="AE4" i="21"/>
  <c r="AD4" i="21"/>
  <c r="AC4" i="21"/>
  <c r="AB4" i="21"/>
  <c r="AA4" i="21"/>
  <c r="W4" i="21"/>
  <c r="AJ4" i="21" s="1"/>
  <c r="V4" i="21"/>
  <c r="U4" i="21"/>
  <c r="AI4" i="21" s="1"/>
  <c r="T4" i="21"/>
  <c r="S4" i="21"/>
  <c r="Y4" i="21" s="1"/>
  <c r="R4" i="21"/>
  <c r="X4" i="21" s="1"/>
  <c r="AF4" i="21" s="1"/>
  <c r="AE3" i="21"/>
  <c r="AD3" i="21"/>
  <c r="AC3" i="21"/>
  <c r="AB3" i="21"/>
  <c r="AA3" i="21"/>
  <c r="W3" i="21"/>
  <c r="V3" i="21"/>
  <c r="U3" i="21"/>
  <c r="AI3" i="21" s="1"/>
  <c r="T3" i="21"/>
  <c r="S3" i="21"/>
  <c r="Y3" i="21" s="1"/>
  <c r="AG3" i="21" s="1"/>
  <c r="R3" i="21"/>
  <c r="J158" i="21"/>
  <c r="J157" i="21"/>
  <c r="J156" i="21"/>
  <c r="J155" i="21"/>
  <c r="M155" i="21" s="1"/>
  <c r="J154" i="21"/>
  <c r="M154" i="21" s="1"/>
  <c r="J153" i="21"/>
  <c r="J152" i="21"/>
  <c r="M152" i="21" s="1"/>
  <c r="J151" i="21"/>
  <c r="M151" i="21" s="1"/>
  <c r="J150" i="21"/>
  <c r="J149" i="21"/>
  <c r="J148" i="21"/>
  <c r="M148" i="21" s="1"/>
  <c r="J170" i="21"/>
  <c r="M170" i="21" s="1"/>
  <c r="J169" i="21"/>
  <c r="M169" i="21" s="1"/>
  <c r="M168" i="21"/>
  <c r="J168" i="21"/>
  <c r="J167" i="21"/>
  <c r="M167" i="21" s="1"/>
  <c r="J166" i="21"/>
  <c r="M166" i="21" s="1"/>
  <c r="J165" i="21"/>
  <c r="M165" i="21" s="1"/>
  <c r="J164" i="21"/>
  <c r="M164" i="21" s="1"/>
  <c r="J163" i="21"/>
  <c r="M163" i="21" s="1"/>
  <c r="M162" i="21"/>
  <c r="J162" i="21"/>
  <c r="J161" i="21"/>
  <c r="M161" i="21" s="1"/>
  <c r="J160" i="21"/>
  <c r="M160" i="21" s="1"/>
  <c r="J159" i="21"/>
  <c r="M158" i="21"/>
  <c r="M157" i="21"/>
  <c r="M156" i="21"/>
  <c r="M153" i="21"/>
  <c r="M150" i="21"/>
  <c r="M149" i="21"/>
  <c r="J147" i="21"/>
  <c r="M147" i="21" s="1"/>
  <c r="M146" i="21"/>
  <c r="J146" i="21"/>
  <c r="J145" i="21"/>
  <c r="M145" i="21" s="1"/>
  <c r="J144" i="21"/>
  <c r="M144" i="21" s="1"/>
  <c r="J143" i="21"/>
  <c r="M143" i="21" s="1"/>
  <c r="M142" i="21"/>
  <c r="J142" i="21"/>
  <c r="J141" i="21"/>
  <c r="M141" i="21" s="1"/>
  <c r="J140" i="21"/>
  <c r="M140" i="21" s="1"/>
  <c r="J139" i="21"/>
  <c r="M139" i="21" s="1"/>
  <c r="J138" i="21"/>
  <c r="M138" i="21" s="1"/>
  <c r="J137" i="21"/>
  <c r="M137" i="21" s="1"/>
  <c r="M136" i="21"/>
  <c r="J136" i="21"/>
  <c r="J135" i="21"/>
  <c r="M135" i="21" s="1"/>
  <c r="J134" i="21"/>
  <c r="M134" i="21" s="1"/>
  <c r="J133" i="21"/>
  <c r="M133" i="21" s="1"/>
  <c r="J132" i="21"/>
  <c r="M132" i="21" s="1"/>
  <c r="J131" i="21"/>
  <c r="M131" i="21" s="1"/>
  <c r="J130" i="21"/>
  <c r="M130" i="21" s="1"/>
  <c r="J129" i="21"/>
  <c r="M129" i="21" s="1"/>
  <c r="M128" i="21"/>
  <c r="J128" i="21"/>
  <c r="J127" i="21"/>
  <c r="M127" i="21" s="1"/>
  <c r="J126" i="21"/>
  <c r="M126" i="21" s="1"/>
  <c r="J125" i="21"/>
  <c r="M125" i="21" s="1"/>
  <c r="J124" i="21"/>
  <c r="M124" i="21" s="1"/>
  <c r="J123" i="21"/>
  <c r="M123" i="21" s="1"/>
  <c r="J122" i="21"/>
  <c r="M122" i="21" s="1"/>
  <c r="J121" i="21"/>
  <c r="M121" i="21" s="1"/>
  <c r="M120" i="21"/>
  <c r="J120" i="21"/>
  <c r="J119" i="21"/>
  <c r="M119" i="21" s="1"/>
  <c r="J118" i="21"/>
  <c r="M118" i="21" s="1"/>
  <c r="J117" i="21"/>
  <c r="M117" i="21" s="1"/>
  <c r="M116" i="21"/>
  <c r="J116" i="21"/>
  <c r="J115" i="21"/>
  <c r="M115" i="21" s="1"/>
  <c r="J114" i="21"/>
  <c r="M114" i="21" s="1"/>
  <c r="J113" i="21"/>
  <c r="M113" i="21" s="1"/>
  <c r="J112" i="21"/>
  <c r="J111" i="21"/>
  <c r="M111" i="21" s="1"/>
  <c r="J110" i="21"/>
  <c r="M110" i="21" s="1"/>
  <c r="J109" i="21"/>
  <c r="M109" i="21" s="1"/>
  <c r="M108" i="21"/>
  <c r="J108" i="21"/>
  <c r="J107" i="21"/>
  <c r="M107" i="21" s="1"/>
  <c r="J106" i="21"/>
  <c r="M106" i="21" s="1"/>
  <c r="J105" i="21"/>
  <c r="M105" i="21" s="1"/>
  <c r="J104" i="21"/>
  <c r="M104" i="21" s="1"/>
  <c r="J103" i="21"/>
  <c r="M103" i="21" s="1"/>
  <c r="J102" i="21"/>
  <c r="M102" i="21" s="1"/>
  <c r="J101" i="21"/>
  <c r="M101" i="21" s="1"/>
  <c r="M100" i="21"/>
  <c r="J100" i="21"/>
  <c r="J99" i="21"/>
  <c r="M99" i="21" s="1"/>
  <c r="J98" i="21"/>
  <c r="M98" i="21" s="1"/>
  <c r="J97" i="21"/>
  <c r="M97" i="21" s="1"/>
  <c r="J96" i="21"/>
  <c r="M96" i="21" s="1"/>
  <c r="J95" i="21"/>
  <c r="M95" i="21" s="1"/>
  <c r="J94" i="21"/>
  <c r="M94" i="21" s="1"/>
  <c r="J93" i="21"/>
  <c r="M93" i="21" s="1"/>
  <c r="J92" i="21"/>
  <c r="M92" i="21" s="1"/>
  <c r="J91" i="21"/>
  <c r="M91" i="21" s="1"/>
  <c r="J90" i="21"/>
  <c r="M90" i="21" s="1"/>
  <c r="J89" i="21"/>
  <c r="M89" i="21" s="1"/>
  <c r="J88" i="21"/>
  <c r="M88" i="21" s="1"/>
  <c r="J87" i="21"/>
  <c r="M87" i="21" s="1"/>
  <c r="J86" i="21"/>
  <c r="M86" i="21" s="1"/>
  <c r="J85" i="21"/>
  <c r="M85" i="21" s="1"/>
  <c r="J84" i="21"/>
  <c r="M84" i="21" s="1"/>
  <c r="J83" i="21"/>
  <c r="M83" i="21" s="1"/>
  <c r="J82" i="21"/>
  <c r="M82" i="21" s="1"/>
  <c r="J81" i="21"/>
  <c r="M81" i="21" s="1"/>
  <c r="J80" i="21"/>
  <c r="M80" i="21" s="1"/>
  <c r="J79" i="21"/>
  <c r="M79" i="21" s="1"/>
  <c r="J78" i="21"/>
  <c r="M78" i="21" s="1"/>
  <c r="J77" i="21"/>
  <c r="M77" i="21" s="1"/>
  <c r="J76" i="21"/>
  <c r="M76" i="21" s="1"/>
  <c r="J75" i="21"/>
  <c r="M75" i="21" s="1"/>
  <c r="J74" i="21"/>
  <c r="M74" i="21" s="1"/>
  <c r="J73" i="21"/>
  <c r="M73" i="21" s="1"/>
  <c r="J72" i="21"/>
  <c r="M72" i="21" s="1"/>
  <c r="J71" i="21"/>
  <c r="M71" i="21" s="1"/>
  <c r="M70" i="21"/>
  <c r="J70" i="21"/>
  <c r="J69" i="21"/>
  <c r="M69" i="21" s="1"/>
  <c r="J68" i="21"/>
  <c r="M68" i="21" s="1"/>
  <c r="J67" i="21"/>
  <c r="M67" i="21" s="1"/>
  <c r="M66" i="21"/>
  <c r="J66" i="21"/>
  <c r="J65" i="21"/>
  <c r="M65" i="21" s="1"/>
  <c r="J64" i="21"/>
  <c r="M64" i="21" s="1"/>
  <c r="J63" i="21"/>
  <c r="M63" i="21" s="1"/>
  <c r="M62" i="21"/>
  <c r="J62" i="21"/>
  <c r="J61" i="21"/>
  <c r="M61" i="21" s="1"/>
  <c r="J60" i="21"/>
  <c r="M60" i="21" s="1"/>
  <c r="J59" i="21"/>
  <c r="M59" i="21" s="1"/>
  <c r="J58" i="21"/>
  <c r="M58" i="21" s="1"/>
  <c r="J57" i="21"/>
  <c r="M57" i="21" s="1"/>
  <c r="J56" i="21"/>
  <c r="M56" i="21" s="1"/>
  <c r="J55" i="21"/>
  <c r="M55" i="21" s="1"/>
  <c r="M54" i="21"/>
  <c r="J54" i="21"/>
  <c r="M53" i="21"/>
  <c r="J53" i="21"/>
  <c r="M52" i="21"/>
  <c r="J52" i="21"/>
  <c r="M51" i="21"/>
  <c r="J51" i="21"/>
  <c r="M50" i="21"/>
  <c r="J50" i="21"/>
  <c r="O49" i="21"/>
  <c r="N49" i="21"/>
  <c r="L49" i="21"/>
  <c r="K49" i="21"/>
  <c r="O48" i="21"/>
  <c r="L48" i="21"/>
  <c r="K48" i="21"/>
  <c r="N48" i="21" s="1"/>
  <c r="N47" i="21"/>
  <c r="L47" i="21"/>
  <c r="O47" i="21" s="1"/>
  <c r="K47" i="21"/>
  <c r="L46" i="21"/>
  <c r="O46" i="21" s="1"/>
  <c r="K46" i="21"/>
  <c r="N46" i="21" s="1"/>
  <c r="L45" i="21"/>
  <c r="O45" i="21" s="1"/>
  <c r="K45" i="21"/>
  <c r="N45" i="21" s="1"/>
  <c r="O44" i="21"/>
  <c r="L44" i="21"/>
  <c r="K44" i="21"/>
  <c r="N44" i="21" s="1"/>
  <c r="O43" i="21"/>
  <c r="L43" i="21"/>
  <c r="K43" i="21"/>
  <c r="N43" i="21" s="1"/>
  <c r="L42" i="21"/>
  <c r="O42" i="21" s="1"/>
  <c r="K42" i="21"/>
  <c r="N42" i="21" s="1"/>
  <c r="O41" i="21"/>
  <c r="N41" i="21"/>
  <c r="L41" i="21"/>
  <c r="K41" i="21"/>
  <c r="O40" i="21"/>
  <c r="L40" i="21"/>
  <c r="K40" i="21"/>
  <c r="N40" i="21" s="1"/>
  <c r="N39" i="21"/>
  <c r="L39" i="21"/>
  <c r="O39" i="21" s="1"/>
  <c r="K39" i="21"/>
  <c r="L38" i="21"/>
  <c r="O38" i="21" s="1"/>
  <c r="K38" i="21"/>
  <c r="N38" i="21" s="1"/>
  <c r="J37" i="21"/>
  <c r="M37" i="21" s="1"/>
  <c r="J36" i="21"/>
  <c r="M36" i="21" s="1"/>
  <c r="J35" i="21"/>
  <c r="M35" i="21" s="1"/>
  <c r="J34" i="21"/>
  <c r="M34" i="21" s="1"/>
  <c r="J33" i="21"/>
  <c r="M33" i="21" s="1"/>
  <c r="J32" i="21"/>
  <c r="M32" i="21" s="1"/>
  <c r="J31" i="21"/>
  <c r="M31" i="21" s="1"/>
  <c r="J30" i="21"/>
  <c r="M30" i="21" s="1"/>
  <c r="J29" i="21"/>
  <c r="M29" i="21" s="1"/>
  <c r="J28" i="21"/>
  <c r="M28" i="21" s="1"/>
  <c r="J27" i="21"/>
  <c r="M27" i="21" s="1"/>
  <c r="J26" i="21"/>
  <c r="M26" i="21" s="1"/>
  <c r="X158" i="16"/>
  <c r="W158" i="16"/>
  <c r="X157" i="16"/>
  <c r="W157" i="16"/>
  <c r="X156" i="16"/>
  <c r="W156" i="16"/>
  <c r="X155" i="16"/>
  <c r="W155" i="16"/>
  <c r="X154" i="16"/>
  <c r="W154" i="16"/>
  <c r="X153" i="16"/>
  <c r="W153" i="16"/>
  <c r="X152" i="16"/>
  <c r="W152" i="16"/>
  <c r="X151" i="16"/>
  <c r="W151" i="16"/>
  <c r="X150" i="16"/>
  <c r="W150" i="16"/>
  <c r="X149" i="16"/>
  <c r="W149" i="16"/>
  <c r="X148" i="16"/>
  <c r="W148" i="16"/>
  <c r="AD51" i="17"/>
  <c r="X51" i="17"/>
  <c r="W51" i="17"/>
  <c r="AD50" i="17"/>
  <c r="X50" i="17"/>
  <c r="W50" i="17"/>
  <c r="AD49" i="17"/>
  <c r="X49" i="17"/>
  <c r="W49" i="17"/>
  <c r="AD48" i="17"/>
  <c r="X48" i="17"/>
  <c r="W48" i="17"/>
  <c r="AD47" i="17"/>
  <c r="X47" i="17"/>
  <c r="W47" i="17"/>
  <c r="AD46" i="17"/>
  <c r="X46" i="17"/>
  <c r="W46" i="17"/>
  <c r="AD45" i="17"/>
  <c r="X45" i="17"/>
  <c r="W45" i="17"/>
  <c r="AD44" i="17"/>
  <c r="X44" i="17"/>
  <c r="W44" i="17"/>
  <c r="AD43" i="17"/>
  <c r="X43" i="17"/>
  <c r="W43" i="17"/>
  <c r="AD42" i="17"/>
  <c r="X42" i="17"/>
  <c r="W42" i="17"/>
  <c r="AD41" i="17"/>
  <c r="AD11" i="21" s="1"/>
  <c r="X41" i="17"/>
  <c r="W41" i="17"/>
  <c r="M40" i="5"/>
  <c r="M39" i="5"/>
  <c r="M38" i="5"/>
  <c r="AJ9" i="17"/>
  <c r="AI9" i="17"/>
  <c r="AJ7" i="17"/>
  <c r="AI7" i="17"/>
  <c r="AJ4" i="17"/>
  <c r="AI4" i="17"/>
  <c r="AJ3" i="17"/>
  <c r="AI3" i="17"/>
  <c r="AJ2" i="17"/>
  <c r="AI2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10" i="21" s="1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AD9" i="21" s="1"/>
  <c r="V51" i="17"/>
  <c r="AB51" i="17" s="1"/>
  <c r="V50" i="17"/>
  <c r="AB50" i="17" s="1"/>
  <c r="V49" i="17"/>
  <c r="AB49" i="17" s="1"/>
  <c r="V48" i="17"/>
  <c r="AB48" i="17" s="1"/>
  <c r="V47" i="17"/>
  <c r="AB47" i="17" s="1"/>
  <c r="V46" i="17"/>
  <c r="AB46" i="17" s="1"/>
  <c r="V45" i="17"/>
  <c r="AB45" i="17" s="1"/>
  <c r="V44" i="17"/>
  <c r="AB44" i="17" s="1"/>
  <c r="V43" i="17"/>
  <c r="AB43" i="17" s="1"/>
  <c r="V42" i="17"/>
  <c r="AB42" i="17" s="1"/>
  <c r="V41" i="17"/>
  <c r="AB41" i="17" s="1"/>
  <c r="X40" i="17"/>
  <c r="W40" i="17"/>
  <c r="V40" i="17"/>
  <c r="AB40" i="17" s="1"/>
  <c r="X39" i="17"/>
  <c r="W39" i="17"/>
  <c r="V39" i="17"/>
  <c r="AB39" i="17" s="1"/>
  <c r="X38" i="17"/>
  <c r="W38" i="17"/>
  <c r="V38" i="17"/>
  <c r="AB38" i="17" s="1"/>
  <c r="X37" i="17"/>
  <c r="W37" i="17"/>
  <c r="V37" i="17"/>
  <c r="AB37" i="17" s="1"/>
  <c r="X36" i="17"/>
  <c r="W36" i="17"/>
  <c r="V36" i="17"/>
  <c r="AB36" i="17" s="1"/>
  <c r="X35" i="17"/>
  <c r="W35" i="17"/>
  <c r="V35" i="17"/>
  <c r="AB35" i="17" s="1"/>
  <c r="X34" i="17"/>
  <c r="W34" i="17"/>
  <c r="V34" i="17"/>
  <c r="AB34" i="17" s="1"/>
  <c r="X33" i="17"/>
  <c r="W33" i="17"/>
  <c r="V33" i="17"/>
  <c r="AB33" i="17" s="1"/>
  <c r="X32" i="17"/>
  <c r="W32" i="17"/>
  <c r="V32" i="17"/>
  <c r="AB32" i="17" s="1"/>
  <c r="X31" i="17"/>
  <c r="W31" i="17"/>
  <c r="V31" i="17"/>
  <c r="AB31" i="17" s="1"/>
  <c r="X30" i="17"/>
  <c r="W30" i="17"/>
  <c r="V30" i="17"/>
  <c r="AB30" i="17" s="1"/>
  <c r="X29" i="17"/>
  <c r="W29" i="17"/>
  <c r="V29" i="17"/>
  <c r="AB29" i="17" s="1"/>
  <c r="X28" i="17"/>
  <c r="W28" i="17"/>
  <c r="V28" i="17"/>
  <c r="AB28" i="17" s="1"/>
  <c r="X27" i="17"/>
  <c r="W27" i="17"/>
  <c r="V27" i="17"/>
  <c r="AB27" i="17" s="1"/>
  <c r="X26" i="17"/>
  <c r="W26" i="17"/>
  <c r="V26" i="17"/>
  <c r="AB26" i="17" s="1"/>
  <c r="X25" i="17"/>
  <c r="W25" i="17"/>
  <c r="V25" i="17"/>
  <c r="AB25" i="17" s="1"/>
  <c r="X24" i="17"/>
  <c r="W24" i="17"/>
  <c r="V24" i="17"/>
  <c r="AB24" i="17" s="1"/>
  <c r="X23" i="17"/>
  <c r="W23" i="17"/>
  <c r="V23" i="17"/>
  <c r="AB23" i="17" s="1"/>
  <c r="X22" i="17"/>
  <c r="W22" i="17"/>
  <c r="V22" i="17"/>
  <c r="AB22" i="17" s="1"/>
  <c r="X21" i="17"/>
  <c r="W21" i="17"/>
  <c r="AC21" i="17" s="1"/>
  <c r="V21" i="17"/>
  <c r="AB21" i="17" s="1"/>
  <c r="X20" i="17"/>
  <c r="W20" i="17"/>
  <c r="V20" i="17"/>
  <c r="AB20" i="17" s="1"/>
  <c r="X19" i="17"/>
  <c r="W19" i="17"/>
  <c r="V19" i="17"/>
  <c r="AB19" i="17" s="1"/>
  <c r="X18" i="17"/>
  <c r="W18" i="17"/>
  <c r="AC18" i="17" s="1"/>
  <c r="V18" i="17"/>
  <c r="AB18" i="17" s="1"/>
  <c r="X17" i="17"/>
  <c r="AC17" i="17" s="1"/>
  <c r="W17" i="17"/>
  <c r="V17" i="17"/>
  <c r="AB17" i="17" s="1"/>
  <c r="X16" i="17"/>
  <c r="W16" i="17"/>
  <c r="V16" i="17"/>
  <c r="AB16" i="17" s="1"/>
  <c r="X15" i="17"/>
  <c r="AC15" i="17" s="1"/>
  <c r="W15" i="17"/>
  <c r="V15" i="17"/>
  <c r="AB15" i="17" s="1"/>
  <c r="X14" i="17"/>
  <c r="W14" i="17"/>
  <c r="AC14" i="17" s="1"/>
  <c r="V14" i="17"/>
  <c r="AB14" i="17" s="1"/>
  <c r="X13" i="17"/>
  <c r="W13" i="17"/>
  <c r="AC13" i="17" s="1"/>
  <c r="V13" i="17"/>
  <c r="AB13" i="17" s="1"/>
  <c r="X12" i="17"/>
  <c r="W12" i="17"/>
  <c r="V12" i="17"/>
  <c r="AB12" i="17" s="1"/>
  <c r="X11" i="17"/>
  <c r="W11" i="17"/>
  <c r="V11" i="17"/>
  <c r="AB11" i="17" s="1"/>
  <c r="X10" i="17"/>
  <c r="W10" i="17"/>
  <c r="V10" i="17"/>
  <c r="AB10" i="17" s="1"/>
  <c r="X9" i="17"/>
  <c r="W9" i="17"/>
  <c r="V9" i="17"/>
  <c r="AB9" i="17" s="1"/>
  <c r="X8" i="17"/>
  <c r="W8" i="17"/>
  <c r="V8" i="17"/>
  <c r="AB8" i="17" s="1"/>
  <c r="X7" i="17"/>
  <c r="W7" i="17"/>
  <c r="V7" i="17"/>
  <c r="AB7" i="17" s="1"/>
  <c r="X6" i="17"/>
  <c r="W6" i="17"/>
  <c r="V6" i="17"/>
  <c r="AB6" i="17" s="1"/>
  <c r="X5" i="17"/>
  <c r="AC5" i="17" s="1"/>
  <c r="W5" i="17"/>
  <c r="V5" i="17"/>
  <c r="AB5" i="17" s="1"/>
  <c r="X4" i="17"/>
  <c r="W4" i="17"/>
  <c r="V4" i="17"/>
  <c r="AB4" i="17" s="1"/>
  <c r="X3" i="17"/>
  <c r="W3" i="17"/>
  <c r="V3" i="17"/>
  <c r="AB3" i="17" s="1"/>
  <c r="X2" i="17"/>
  <c r="W2" i="17"/>
  <c r="AC2" i="17" s="1"/>
  <c r="V2" i="17"/>
  <c r="AB2" i="17" s="1"/>
  <c r="AE170" i="16"/>
  <c r="AE169" i="16"/>
  <c r="AE168" i="16"/>
  <c r="AE167" i="16"/>
  <c r="AE166" i="16"/>
  <c r="AE165" i="16"/>
  <c r="AE164" i="16"/>
  <c r="AE163" i="16"/>
  <c r="AE162" i="16"/>
  <c r="AE161" i="16"/>
  <c r="AE160" i="16"/>
  <c r="AE159" i="16"/>
  <c r="AA12" i="21" s="1"/>
  <c r="AE158" i="16"/>
  <c r="AD158" i="16"/>
  <c r="AC158" i="16"/>
  <c r="AE157" i="16"/>
  <c r="AD157" i="16"/>
  <c r="AC157" i="16"/>
  <c r="AE156" i="16"/>
  <c r="AD156" i="16"/>
  <c r="AC156" i="16"/>
  <c r="AE155" i="16"/>
  <c r="AD155" i="16"/>
  <c r="AC155" i="16"/>
  <c r="AE154" i="16"/>
  <c r="AD154" i="16"/>
  <c r="AC154" i="16"/>
  <c r="AE153" i="16"/>
  <c r="AD153" i="16"/>
  <c r="AC153" i="16"/>
  <c r="AE152" i="16"/>
  <c r="AD152" i="16"/>
  <c r="AC152" i="16"/>
  <c r="AE151" i="16"/>
  <c r="AD151" i="16"/>
  <c r="AC151" i="16"/>
  <c r="AE150" i="16"/>
  <c r="AD150" i="16"/>
  <c r="AC150" i="16"/>
  <c r="AE149" i="16"/>
  <c r="AD149" i="16"/>
  <c r="AC149" i="16"/>
  <c r="AE148" i="16"/>
  <c r="AD148" i="16"/>
  <c r="AC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E119" i="16"/>
  <c r="AE118" i="16"/>
  <c r="AE117" i="16"/>
  <c r="AE116" i="16"/>
  <c r="AE115" i="16"/>
  <c r="AE114" i="16"/>
  <c r="AE113" i="16"/>
  <c r="AE112" i="16"/>
  <c r="AA11" i="21" s="1"/>
  <c r="AE111" i="16"/>
  <c r="AE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G49" i="16"/>
  <c r="AF49" i="16"/>
  <c r="AG48" i="16"/>
  <c r="AF48" i="16"/>
  <c r="AG47" i="16"/>
  <c r="AF47" i="16"/>
  <c r="AG46" i="16"/>
  <c r="AF46" i="16"/>
  <c r="AG45" i="16"/>
  <c r="AF45" i="16"/>
  <c r="AG44" i="16"/>
  <c r="AF44" i="16"/>
  <c r="AG43" i="16"/>
  <c r="AF43" i="16"/>
  <c r="AG42" i="16"/>
  <c r="AF42" i="16"/>
  <c r="AG41" i="16"/>
  <c r="AF41" i="16"/>
  <c r="AG40" i="16"/>
  <c r="AF40" i="16"/>
  <c r="AG39" i="16"/>
  <c r="AF39" i="16"/>
  <c r="AG38" i="16"/>
  <c r="AF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X170" i="16"/>
  <c r="AD170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X162" i="16"/>
  <c r="AD162" i="16" s="1"/>
  <c r="W162" i="16"/>
  <c r="AC162" i="16" s="1"/>
  <c r="V162" i="16"/>
  <c r="AB162" i="16" s="1"/>
  <c r="X161" i="16"/>
  <c r="AD161" i="16" s="1"/>
  <c r="W161" i="16"/>
  <c r="AC161" i="16" s="1"/>
  <c r="V161" i="16"/>
  <c r="AB161" i="16" s="1"/>
  <c r="X160" i="16"/>
  <c r="AD160" i="16" s="1"/>
  <c r="W160" i="16"/>
  <c r="AC160" i="16" s="1"/>
  <c r="V160" i="16"/>
  <c r="AB160" i="16" s="1"/>
  <c r="X159" i="16"/>
  <c r="AD159" i="16" s="1"/>
  <c r="AO6" i="16" s="1"/>
  <c r="W159" i="16"/>
  <c r="AC159" i="16" s="1"/>
  <c r="V159" i="16"/>
  <c r="AB159" i="16" s="1"/>
  <c r="V158" i="16"/>
  <c r="AB158" i="16" s="1"/>
  <c r="V157" i="16"/>
  <c r="AB157" i="16" s="1"/>
  <c r="V156" i="16"/>
  <c r="AB156" i="16" s="1"/>
  <c r="V155" i="16"/>
  <c r="AB155" i="16" s="1"/>
  <c r="V154" i="16"/>
  <c r="AB154" i="16" s="1"/>
  <c r="V153" i="16"/>
  <c r="AB153" i="16" s="1"/>
  <c r="V152" i="16"/>
  <c r="AB152" i="16" s="1"/>
  <c r="V151" i="16"/>
  <c r="AB151" i="16" s="1"/>
  <c r="V150" i="16"/>
  <c r="AB150" i="16" s="1"/>
  <c r="V149" i="16"/>
  <c r="AB149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AC136" i="16" s="1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AC120" i="16" s="1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AC104" i="16" s="1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AC88" i="16" s="1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AC72" i="16" s="1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AC56" i="16" s="1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AB47" i="16" s="1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AB25" i="16" s="1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AD3" i="16" s="1"/>
  <c r="W3" i="16"/>
  <c r="AC3" i="16" s="1"/>
  <c r="V3" i="16"/>
  <c r="AB3" i="16" s="1"/>
  <c r="X2" i="16"/>
  <c r="AD2" i="16" s="1"/>
  <c r="W2" i="16"/>
  <c r="AC2" i="16" s="1"/>
  <c r="V2" i="16"/>
  <c r="AB2" i="16" s="1"/>
  <c r="AD51" i="6"/>
  <c r="AB51" i="6"/>
  <c r="AA51" i="6"/>
  <c r="AA51" i="7" s="1"/>
  <c r="Z51" i="6"/>
  <c r="X51" i="6"/>
  <c r="W51" i="6"/>
  <c r="V51" i="6"/>
  <c r="U51" i="6"/>
  <c r="AD50" i="6"/>
  <c r="AB50" i="6"/>
  <c r="AA50" i="6"/>
  <c r="Z50" i="6"/>
  <c r="Z50" i="7" s="1"/>
  <c r="X50" i="6"/>
  <c r="W50" i="6"/>
  <c r="V50" i="6"/>
  <c r="U50" i="6"/>
  <c r="AD49" i="6"/>
  <c r="AB49" i="6"/>
  <c r="AA49" i="6"/>
  <c r="AA49" i="7" s="1"/>
  <c r="Z49" i="6"/>
  <c r="X49" i="6"/>
  <c r="W49" i="6"/>
  <c r="V49" i="6"/>
  <c r="U49" i="6"/>
  <c r="AD48" i="6"/>
  <c r="AB48" i="6"/>
  <c r="AA48" i="6"/>
  <c r="Z48" i="6"/>
  <c r="X48" i="6"/>
  <c r="W48" i="6"/>
  <c r="V48" i="6"/>
  <c r="U48" i="6"/>
  <c r="AD47" i="6"/>
  <c r="AB47" i="6"/>
  <c r="AA47" i="6"/>
  <c r="AA47" i="7" s="1"/>
  <c r="Z47" i="6"/>
  <c r="X47" i="6"/>
  <c r="W47" i="6"/>
  <c r="V47" i="6"/>
  <c r="U47" i="6"/>
  <c r="AD46" i="6"/>
  <c r="AB46" i="6"/>
  <c r="AA46" i="6"/>
  <c r="Z46" i="6"/>
  <c r="Z46" i="7" s="1"/>
  <c r="X46" i="6"/>
  <c r="W46" i="6"/>
  <c r="V46" i="6"/>
  <c r="U46" i="6"/>
  <c r="AD45" i="6"/>
  <c r="AB45" i="6"/>
  <c r="AA45" i="6"/>
  <c r="AA45" i="7" s="1"/>
  <c r="Z45" i="6"/>
  <c r="X45" i="6"/>
  <c r="W45" i="6"/>
  <c r="V45" i="6"/>
  <c r="U45" i="6"/>
  <c r="AD44" i="6"/>
  <c r="AB44" i="6"/>
  <c r="AA44" i="6"/>
  <c r="Z44" i="6"/>
  <c r="X44" i="6"/>
  <c r="W44" i="6"/>
  <c r="V44" i="6"/>
  <c r="U44" i="6"/>
  <c r="AD43" i="6"/>
  <c r="AB43" i="6"/>
  <c r="AA43" i="6"/>
  <c r="AA43" i="7" s="1"/>
  <c r="Z43" i="6"/>
  <c r="X43" i="6"/>
  <c r="W43" i="6"/>
  <c r="V43" i="6"/>
  <c r="U43" i="6"/>
  <c r="AD42" i="6"/>
  <c r="AB42" i="6"/>
  <c r="AA42" i="6"/>
  <c r="Z42" i="6"/>
  <c r="Z42" i="7" s="1"/>
  <c r="X42" i="6"/>
  <c r="W42" i="6"/>
  <c r="V42" i="6"/>
  <c r="U42" i="6"/>
  <c r="AD41" i="6"/>
  <c r="AB41" i="6"/>
  <c r="AA41" i="6"/>
  <c r="AA41" i="7" s="1"/>
  <c r="Z41" i="6"/>
  <c r="X41" i="6"/>
  <c r="W41" i="6"/>
  <c r="V41" i="6"/>
  <c r="U41" i="6"/>
  <c r="AD40" i="6"/>
  <c r="AB40" i="6"/>
  <c r="AA40" i="6"/>
  <c r="Z40" i="6"/>
  <c r="X40" i="6"/>
  <c r="W40" i="6"/>
  <c r="V40" i="6"/>
  <c r="U40" i="6"/>
  <c r="AD39" i="6"/>
  <c r="AB39" i="6"/>
  <c r="AA39" i="6"/>
  <c r="AA39" i="7" s="1"/>
  <c r="Z39" i="6"/>
  <c r="X39" i="6"/>
  <c r="W39" i="6"/>
  <c r="V39" i="6"/>
  <c r="U39" i="6"/>
  <c r="AD38" i="6"/>
  <c r="AB38" i="6"/>
  <c r="AA38" i="6"/>
  <c r="Z38" i="6"/>
  <c r="Z38" i="7" s="1"/>
  <c r="X38" i="6"/>
  <c r="W38" i="6"/>
  <c r="V38" i="6"/>
  <c r="U38" i="6"/>
  <c r="AD37" i="6"/>
  <c r="AB37" i="6"/>
  <c r="AA37" i="6"/>
  <c r="AA37" i="7" s="1"/>
  <c r="Z37" i="6"/>
  <c r="X37" i="6"/>
  <c r="W37" i="6"/>
  <c r="V37" i="6"/>
  <c r="U37" i="6"/>
  <c r="AD36" i="6"/>
  <c r="AB36" i="6"/>
  <c r="AA36" i="6"/>
  <c r="Z36" i="6"/>
  <c r="X36" i="6"/>
  <c r="W36" i="6"/>
  <c r="V36" i="6"/>
  <c r="U36" i="6"/>
  <c r="AD35" i="6"/>
  <c r="AB35" i="6"/>
  <c r="AA35" i="6"/>
  <c r="AA35" i="7" s="1"/>
  <c r="Z35" i="6"/>
  <c r="X35" i="6"/>
  <c r="W35" i="6"/>
  <c r="V35" i="6"/>
  <c r="U35" i="6"/>
  <c r="AD34" i="6"/>
  <c r="AB34" i="6"/>
  <c r="AA34" i="6"/>
  <c r="Z34" i="6"/>
  <c r="Z34" i="7" s="1"/>
  <c r="X34" i="6"/>
  <c r="W34" i="6"/>
  <c r="V34" i="6"/>
  <c r="U34" i="6"/>
  <c r="AD33" i="6"/>
  <c r="AB33" i="6"/>
  <c r="AA33" i="6"/>
  <c r="AA33" i="7" s="1"/>
  <c r="Z33" i="6"/>
  <c r="X33" i="6"/>
  <c r="W33" i="6"/>
  <c r="V33" i="6"/>
  <c r="U33" i="6"/>
  <c r="AD32" i="6"/>
  <c r="AB32" i="6"/>
  <c r="AA32" i="6"/>
  <c r="Z32" i="6"/>
  <c r="X32" i="6"/>
  <c r="W32" i="6"/>
  <c r="V32" i="6"/>
  <c r="U32" i="6"/>
  <c r="AD31" i="6"/>
  <c r="AB31" i="6"/>
  <c r="AA31" i="6"/>
  <c r="AA31" i="7" s="1"/>
  <c r="Z31" i="6"/>
  <c r="X31" i="6"/>
  <c r="W31" i="6"/>
  <c r="V31" i="6"/>
  <c r="U31" i="6"/>
  <c r="AD30" i="6"/>
  <c r="AB30" i="6"/>
  <c r="AA30" i="6"/>
  <c r="Z30" i="6"/>
  <c r="Z30" i="7" s="1"/>
  <c r="X30" i="6"/>
  <c r="W30" i="6"/>
  <c r="V30" i="6"/>
  <c r="U30" i="6"/>
  <c r="AD29" i="6"/>
  <c r="AB29" i="6"/>
  <c r="AA29" i="6"/>
  <c r="AA29" i="7" s="1"/>
  <c r="Z29" i="6"/>
  <c r="X29" i="6"/>
  <c r="W29" i="6"/>
  <c r="V29" i="6"/>
  <c r="U29" i="6"/>
  <c r="AD28" i="6"/>
  <c r="AB28" i="6"/>
  <c r="AA28" i="6"/>
  <c r="Z28" i="6"/>
  <c r="X28" i="6"/>
  <c r="W28" i="6"/>
  <c r="V28" i="6"/>
  <c r="U28" i="6"/>
  <c r="AD27" i="6"/>
  <c r="AB27" i="6"/>
  <c r="AA27" i="6"/>
  <c r="AA27" i="7" s="1"/>
  <c r="Z27" i="6"/>
  <c r="X27" i="6"/>
  <c r="W27" i="6"/>
  <c r="V27" i="6"/>
  <c r="U27" i="6"/>
  <c r="AD26" i="6"/>
  <c r="AB26" i="6"/>
  <c r="AA26" i="6"/>
  <c r="Z26" i="6"/>
  <c r="Z26" i="7" s="1"/>
  <c r="X26" i="6"/>
  <c r="W26" i="6"/>
  <c r="V26" i="6"/>
  <c r="U26" i="6"/>
  <c r="AD25" i="6"/>
  <c r="AC25" i="6"/>
  <c r="AB25" i="6"/>
  <c r="AA25" i="6"/>
  <c r="AA25" i="7" s="1"/>
  <c r="Z25" i="6"/>
  <c r="Y25" i="6"/>
  <c r="X25" i="6"/>
  <c r="W25" i="6"/>
  <c r="V25" i="6"/>
  <c r="U25" i="6"/>
  <c r="AD24" i="6"/>
  <c r="AB24" i="6"/>
  <c r="AA24" i="6"/>
  <c r="Z24" i="6"/>
  <c r="X24" i="6"/>
  <c r="W24" i="6"/>
  <c r="V24" i="6"/>
  <c r="U24" i="6"/>
  <c r="AD23" i="6"/>
  <c r="AB23" i="6"/>
  <c r="AA23" i="6"/>
  <c r="AA23" i="7" s="1"/>
  <c r="Z23" i="6"/>
  <c r="X23" i="6"/>
  <c r="W23" i="6"/>
  <c r="V23" i="6"/>
  <c r="U23" i="6"/>
  <c r="AD22" i="6"/>
  <c r="AB22" i="6"/>
  <c r="AA22" i="6"/>
  <c r="Z22" i="6"/>
  <c r="Z22" i="7" s="1"/>
  <c r="X22" i="6"/>
  <c r="W22" i="6"/>
  <c r="V22" i="6"/>
  <c r="U22" i="6"/>
  <c r="AD21" i="6"/>
  <c r="AB21" i="6"/>
  <c r="AA21" i="6"/>
  <c r="AA21" i="7" s="1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AA19" i="7" s="1"/>
  <c r="Z19" i="6"/>
  <c r="Y19" i="6"/>
  <c r="X19" i="6"/>
  <c r="W19" i="6"/>
  <c r="V19" i="6"/>
  <c r="U19" i="6"/>
  <c r="AD18" i="6"/>
  <c r="AC18" i="6"/>
  <c r="AB18" i="6"/>
  <c r="AA18" i="6"/>
  <c r="Z18" i="6"/>
  <c r="Z18" i="7" s="1"/>
  <c r="Y18" i="6"/>
  <c r="X18" i="6"/>
  <c r="W18" i="6"/>
  <c r="V18" i="6"/>
  <c r="U18" i="6"/>
  <c r="AD17" i="6"/>
  <c r="AC17" i="6"/>
  <c r="AB17" i="6"/>
  <c r="AA17" i="6"/>
  <c r="AA17" i="7" s="1"/>
  <c r="Z17" i="6"/>
  <c r="Y17" i="6"/>
  <c r="X17" i="6"/>
  <c r="W17" i="6"/>
  <c r="V17" i="6"/>
  <c r="U17" i="6"/>
  <c r="AD16" i="6"/>
  <c r="AC16" i="6"/>
  <c r="AB16" i="6"/>
  <c r="AA16" i="6"/>
  <c r="Z16" i="6"/>
  <c r="Y16" i="6"/>
  <c r="X16" i="6"/>
  <c r="W16" i="6"/>
  <c r="V16" i="6"/>
  <c r="U16" i="6"/>
  <c r="AD15" i="6"/>
  <c r="AC15" i="6"/>
  <c r="AB15" i="6"/>
  <c r="AA15" i="6"/>
  <c r="AA15" i="7" s="1"/>
  <c r="Z15" i="6"/>
  <c r="Y15" i="6"/>
  <c r="X15" i="6"/>
  <c r="W15" i="6"/>
  <c r="V15" i="6"/>
  <c r="U15" i="6"/>
  <c r="AD14" i="6"/>
  <c r="AC14" i="6"/>
  <c r="AB14" i="6"/>
  <c r="AA14" i="6"/>
  <c r="Z14" i="6"/>
  <c r="Z14" i="7" s="1"/>
  <c r="Y14" i="6"/>
  <c r="X14" i="6"/>
  <c r="W14" i="6"/>
  <c r="V14" i="6"/>
  <c r="U14" i="6"/>
  <c r="AD13" i="6"/>
  <c r="AC13" i="6"/>
  <c r="AB13" i="6"/>
  <c r="AA13" i="6"/>
  <c r="AA13" i="7" s="1"/>
  <c r="Z13" i="6"/>
  <c r="Y13" i="6"/>
  <c r="X13" i="6"/>
  <c r="W13" i="6"/>
  <c r="V13" i="6"/>
  <c r="U13" i="6"/>
  <c r="AD12" i="6"/>
  <c r="AC12" i="6"/>
  <c r="AB12" i="6"/>
  <c r="AA12" i="6"/>
  <c r="Z12" i="6"/>
  <c r="Y12" i="6"/>
  <c r="X12" i="6"/>
  <c r="W12" i="6"/>
  <c r="V12" i="6"/>
  <c r="U12" i="6"/>
  <c r="AD11" i="6"/>
  <c r="AC11" i="6"/>
  <c r="AB11" i="6"/>
  <c r="AA11" i="6"/>
  <c r="AA11" i="7" s="1"/>
  <c r="Z11" i="6"/>
  <c r="Y11" i="6"/>
  <c r="X11" i="6"/>
  <c r="W11" i="6"/>
  <c r="V11" i="6"/>
  <c r="U11" i="6"/>
  <c r="AD10" i="6"/>
  <c r="AC10" i="6"/>
  <c r="AB10" i="6"/>
  <c r="AA10" i="6"/>
  <c r="Z10" i="6"/>
  <c r="Z10" i="7" s="1"/>
  <c r="Y10" i="6"/>
  <c r="X10" i="6"/>
  <c r="W10" i="6"/>
  <c r="V10" i="6"/>
  <c r="U10" i="6"/>
  <c r="AD9" i="6"/>
  <c r="AC9" i="6"/>
  <c r="AB9" i="6"/>
  <c r="AA9" i="6"/>
  <c r="AA9" i="7" s="1"/>
  <c r="Z9" i="6"/>
  <c r="Y9" i="6"/>
  <c r="X9" i="6"/>
  <c r="W9" i="6"/>
  <c r="V9" i="6"/>
  <c r="U9" i="6"/>
  <c r="AD8" i="6"/>
  <c r="AC8" i="6"/>
  <c r="AB8" i="6"/>
  <c r="AA8" i="6"/>
  <c r="Z8" i="6"/>
  <c r="Y8" i="6"/>
  <c r="X8" i="6"/>
  <c r="W8" i="6"/>
  <c r="V8" i="6"/>
  <c r="U8" i="6"/>
  <c r="AD7" i="6"/>
  <c r="AC7" i="6"/>
  <c r="AB7" i="6"/>
  <c r="AA7" i="6"/>
  <c r="AA7" i="7" s="1"/>
  <c r="Z7" i="6"/>
  <c r="Y7" i="6"/>
  <c r="X7" i="6"/>
  <c r="W7" i="6"/>
  <c r="V7" i="6"/>
  <c r="U7" i="6"/>
  <c r="AD6" i="6"/>
  <c r="AC6" i="6"/>
  <c r="AB6" i="6"/>
  <c r="AA6" i="6"/>
  <c r="Z6" i="6"/>
  <c r="Z6" i="7" s="1"/>
  <c r="Y6" i="6"/>
  <c r="X6" i="6"/>
  <c r="W6" i="6"/>
  <c r="V6" i="6"/>
  <c r="U6" i="6"/>
  <c r="AD5" i="6"/>
  <c r="AC5" i="6"/>
  <c r="AB5" i="6"/>
  <c r="AA5" i="6"/>
  <c r="AA5" i="7" s="1"/>
  <c r="Z5" i="6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AC48" i="6" s="1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Y44" i="6" s="1"/>
  <c r="AP43" i="14"/>
  <c r="AC43" i="14"/>
  <c r="AC43" i="6" s="1"/>
  <c r="Y43" i="14"/>
  <c r="Y43" i="6" s="1"/>
  <c r="AP42" i="14"/>
  <c r="AC42" i="14"/>
  <c r="AC42" i="6" s="1"/>
  <c r="Y42" i="14"/>
  <c r="Y42" i="6" s="1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Y38" i="6" s="1"/>
  <c r="AP37" i="14"/>
  <c r="AC37" i="14"/>
  <c r="AC37" i="6" s="1"/>
  <c r="Y37" i="14"/>
  <c r="Y37" i="6" s="1"/>
  <c r="AP36" i="14"/>
  <c r="AC36" i="14"/>
  <c r="AC36" i="6" s="1"/>
  <c r="Y36" i="14"/>
  <c r="Y36" i="6" s="1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AC32" i="6" s="1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C29" i="14"/>
  <c r="AC29" i="6" s="1"/>
  <c r="Y29" i="14"/>
  <c r="Y29" i="6" s="1"/>
  <c r="AP28" i="14"/>
  <c r="AC28" i="14"/>
  <c r="AC28" i="6" s="1"/>
  <c r="Y28" i="14"/>
  <c r="Y28" i="6" s="1"/>
  <c r="AP27" i="14"/>
  <c r="AC27" i="14"/>
  <c r="AC27" i="6" s="1"/>
  <c r="Y27" i="14"/>
  <c r="Y27" i="6" s="1"/>
  <c r="AP26" i="14"/>
  <c r="AC26" i="14"/>
  <c r="AC26" i="6" s="1"/>
  <c r="Y26" i="14"/>
  <c r="Y26" i="6" s="1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Y22" i="6" s="1"/>
  <c r="AP21" i="14"/>
  <c r="AC21" i="14"/>
  <c r="AC21" i="6" s="1"/>
  <c r="Y21" i="14"/>
  <c r="Y21" i="6" s="1"/>
  <c r="X46" i="13"/>
  <c r="V46" i="13"/>
  <c r="T46" i="13"/>
  <c r="P46" i="13"/>
  <c r="O46" i="13"/>
  <c r="N46" i="13"/>
  <c r="M46" i="13"/>
  <c r="V45" i="13"/>
  <c r="U45" i="13"/>
  <c r="T45" i="13"/>
  <c r="P45" i="13"/>
  <c r="O45" i="13"/>
  <c r="N45" i="13"/>
  <c r="M45" i="13"/>
  <c r="X44" i="13"/>
  <c r="V44" i="13"/>
  <c r="U44" i="13"/>
  <c r="T44" i="13"/>
  <c r="P44" i="13"/>
  <c r="O44" i="13"/>
  <c r="N44" i="13"/>
  <c r="M44" i="13"/>
  <c r="X46" i="12"/>
  <c r="V46" i="12"/>
  <c r="T46" i="12"/>
  <c r="P46" i="12"/>
  <c r="O46" i="12"/>
  <c r="N46" i="12"/>
  <c r="M46" i="12"/>
  <c r="V45" i="12"/>
  <c r="U45" i="12"/>
  <c r="T45" i="12"/>
  <c r="P45" i="12"/>
  <c r="O45" i="12"/>
  <c r="N45" i="12"/>
  <c r="M45" i="12"/>
  <c r="X44" i="12"/>
  <c r="V44" i="12"/>
  <c r="V48" i="12" s="1"/>
  <c r="U44" i="12"/>
  <c r="U48" i="12" s="1"/>
  <c r="T44" i="12"/>
  <c r="T48" i="12" s="1"/>
  <c r="P44" i="12"/>
  <c r="P48" i="12" s="1"/>
  <c r="O44" i="12"/>
  <c r="O48" i="12" s="1"/>
  <c r="N44" i="12"/>
  <c r="N48" i="12" s="1"/>
  <c r="M44" i="12"/>
  <c r="M48" i="12" s="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X46" i="11"/>
  <c r="V46" i="11"/>
  <c r="T46" i="11"/>
  <c r="P46" i="11"/>
  <c r="O46" i="11"/>
  <c r="N46" i="11"/>
  <c r="M46" i="11"/>
  <c r="V45" i="11"/>
  <c r="U45" i="11"/>
  <c r="T45" i="11"/>
  <c r="P45" i="11"/>
  <c r="O45" i="11"/>
  <c r="N45" i="11"/>
  <c r="M45" i="11"/>
  <c r="X44" i="11"/>
  <c r="V44" i="11"/>
  <c r="V48" i="11" s="1"/>
  <c r="U44" i="11"/>
  <c r="U48" i="11" s="1"/>
  <c r="T44" i="11"/>
  <c r="T48" i="11" s="1"/>
  <c r="P44" i="11"/>
  <c r="P48" i="11" s="1"/>
  <c r="O44" i="11"/>
  <c r="O48" i="11" s="1"/>
  <c r="N44" i="11"/>
  <c r="N48" i="11" s="1"/>
  <c r="M44" i="11"/>
  <c r="M48" i="11" s="1"/>
  <c r="X46" i="10"/>
  <c r="X44" i="10"/>
  <c r="V46" i="10"/>
  <c r="V45" i="10"/>
  <c r="V44" i="10"/>
  <c r="U45" i="10"/>
  <c r="U44" i="10"/>
  <c r="T46" i="10"/>
  <c r="T45" i="10"/>
  <c r="T44" i="10"/>
  <c r="R47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4" i="10"/>
  <c r="Z13" i="10"/>
  <c r="Z12" i="10"/>
  <c r="Z11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4" i="10"/>
  <c r="V13" i="10"/>
  <c r="V12" i="10"/>
  <c r="V11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4" i="10"/>
  <c r="U13" i="10"/>
  <c r="U12" i="10"/>
  <c r="U11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4" i="10"/>
  <c r="T13" i="10"/>
  <c r="T12" i="10"/>
  <c r="T11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4" i="10"/>
  <c r="R13" i="10"/>
  <c r="R12" i="10"/>
  <c r="R11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4" i="10"/>
  <c r="P13" i="10"/>
  <c r="P12" i="10"/>
  <c r="P11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4" i="10"/>
  <c r="O13" i="10"/>
  <c r="O12" i="10"/>
  <c r="O11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4" i="10"/>
  <c r="N13" i="10"/>
  <c r="N12" i="10"/>
  <c r="N11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4" i="10"/>
  <c r="M13" i="10"/>
  <c r="M12" i="10"/>
  <c r="M11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L57" i="7"/>
  <c r="AG57" i="7"/>
  <c r="AD57" i="7"/>
  <c r="AB57" i="7"/>
  <c r="T57" i="7"/>
  <c r="AG51" i="7"/>
  <c r="Z51" i="7"/>
  <c r="AG50" i="7"/>
  <c r="AA50" i="7"/>
  <c r="AG49" i="7"/>
  <c r="Z49" i="7"/>
  <c r="AG48" i="7"/>
  <c r="AA48" i="7"/>
  <c r="Z48" i="7"/>
  <c r="AG47" i="7"/>
  <c r="Z47" i="7"/>
  <c r="AG46" i="7"/>
  <c r="AA46" i="7"/>
  <c r="AG45" i="7"/>
  <c r="Z45" i="7"/>
  <c r="AG44" i="7"/>
  <c r="AA44" i="7"/>
  <c r="Z44" i="7"/>
  <c r="AG43" i="7"/>
  <c r="Z43" i="7"/>
  <c r="AG42" i="7"/>
  <c r="AA42" i="7"/>
  <c r="AG41" i="7"/>
  <c r="Z41" i="7"/>
  <c r="AG40" i="7"/>
  <c r="AA40" i="7"/>
  <c r="Z40" i="7"/>
  <c r="AG39" i="7"/>
  <c r="Z39" i="7"/>
  <c r="AG38" i="7"/>
  <c r="AA38" i="7"/>
  <c r="AG37" i="7"/>
  <c r="Z37" i="7"/>
  <c r="AG36" i="7"/>
  <c r="AA36" i="7"/>
  <c r="Z36" i="7"/>
  <c r="AG35" i="7"/>
  <c r="Z35" i="7"/>
  <c r="AG34" i="7"/>
  <c r="AA34" i="7"/>
  <c r="AG33" i="7"/>
  <c r="Z33" i="7"/>
  <c r="AG32" i="7"/>
  <c r="AA32" i="7"/>
  <c r="Z32" i="7"/>
  <c r="AG31" i="7"/>
  <c r="Z31" i="7"/>
  <c r="AG30" i="7"/>
  <c r="AA30" i="7"/>
  <c r="AG29" i="7"/>
  <c r="Z29" i="7"/>
  <c r="AG28" i="7"/>
  <c r="AA28" i="7"/>
  <c r="Z28" i="7"/>
  <c r="AG27" i="7"/>
  <c r="Z27" i="7"/>
  <c r="AG26" i="7"/>
  <c r="AA26" i="7"/>
  <c r="AG25" i="7"/>
  <c r="Z25" i="7"/>
  <c r="AG24" i="7"/>
  <c r="AA24" i="7"/>
  <c r="Z24" i="7"/>
  <c r="AG23" i="7"/>
  <c r="Z23" i="7"/>
  <c r="AG22" i="7"/>
  <c r="AA22" i="7"/>
  <c r="AG21" i="7"/>
  <c r="Z21" i="7"/>
  <c r="AG20" i="7"/>
  <c r="AA20" i="7"/>
  <c r="Z20" i="7"/>
  <c r="AG19" i="7"/>
  <c r="Z19" i="7"/>
  <c r="AG18" i="7"/>
  <c r="AA18" i="7"/>
  <c r="AG17" i="7"/>
  <c r="Z17" i="7"/>
  <c r="AG16" i="7"/>
  <c r="AA16" i="7"/>
  <c r="Z16" i="7"/>
  <c r="AG15" i="7"/>
  <c r="Z15" i="7"/>
  <c r="AG14" i="7"/>
  <c r="AA14" i="7"/>
  <c r="AG13" i="7"/>
  <c r="Z13" i="7"/>
  <c r="AG12" i="7"/>
  <c r="AA12" i="7"/>
  <c r="Z12" i="7"/>
  <c r="AG11" i="7"/>
  <c r="Z11" i="7"/>
  <c r="AG10" i="7"/>
  <c r="AA10" i="7"/>
  <c r="AG9" i="7"/>
  <c r="Z9" i="7"/>
  <c r="AG8" i="7"/>
  <c r="AA8" i="7"/>
  <c r="Z8" i="7"/>
  <c r="AG7" i="7"/>
  <c r="Z7" i="7"/>
  <c r="AG6" i="7"/>
  <c r="AA6" i="7"/>
  <c r="AG5" i="7"/>
  <c r="Z5" i="7"/>
  <c r="AK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Z56" i="6"/>
  <c r="AK58" i="6"/>
  <c r="AK57" i="6"/>
  <c r="AK56" i="6"/>
  <c r="AF58" i="6"/>
  <c r="AF57" i="6"/>
  <c r="AF56" i="6"/>
  <c r="AE58" i="6"/>
  <c r="AE56" i="6"/>
  <c r="AC58" i="6"/>
  <c r="AC57" i="6"/>
  <c r="AC56" i="6"/>
  <c r="AA57" i="6"/>
  <c r="Z57" i="6"/>
  <c r="Y58" i="6"/>
  <c r="Y57" i="6"/>
  <c r="X58" i="6"/>
  <c r="X57" i="6"/>
  <c r="X56" i="6"/>
  <c r="W58" i="6"/>
  <c r="W57" i="6"/>
  <c r="V57" i="6"/>
  <c r="U57" i="6"/>
  <c r="U56" i="6"/>
  <c r="S58" i="6"/>
  <c r="S57" i="6"/>
  <c r="S56" i="6"/>
  <c r="R58" i="6"/>
  <c r="R57" i="6"/>
  <c r="R56" i="6"/>
  <c r="Q58" i="6"/>
  <c r="Q57" i="6"/>
  <c r="Q56" i="6"/>
  <c r="P58" i="6"/>
  <c r="P57" i="6"/>
  <c r="P56" i="6"/>
  <c r="O58" i="6"/>
  <c r="O57" i="6"/>
  <c r="O56" i="6"/>
  <c r="M58" i="6"/>
  <c r="M57" i="6"/>
  <c r="M56" i="6"/>
  <c r="L58" i="6"/>
  <c r="L57" i="6"/>
  <c r="L56" i="6"/>
  <c r="AK16" i="6"/>
  <c r="AK15" i="6"/>
  <c r="AK10" i="6"/>
  <c r="AK9" i="6"/>
  <c r="AK6" i="6"/>
  <c r="AK5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4" i="6"/>
  <c r="AI23" i="6"/>
  <c r="AI22" i="6"/>
  <c r="AI21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AJ56" i="6"/>
  <c r="AI56" i="6"/>
  <c r="AH56" i="6"/>
  <c r="W56" i="6"/>
  <c r="F45" i="5"/>
  <c r="E45" i="5"/>
  <c r="D45" i="5"/>
  <c r="F43" i="5"/>
  <c r="D43" i="5"/>
  <c r="F41" i="5"/>
  <c r="E41" i="5"/>
  <c r="D41" i="5"/>
  <c r="F28" i="5"/>
  <c r="F23" i="5"/>
  <c r="D23" i="5"/>
  <c r="AG56" i="6" s="1"/>
  <c r="F20" i="5"/>
  <c r="E20" i="5"/>
  <c r="D20" i="5"/>
  <c r="AD56" i="6" s="1"/>
  <c r="F18" i="5"/>
  <c r="E18" i="5"/>
  <c r="T38" i="4"/>
  <c r="S38" i="4"/>
  <c r="R38" i="4"/>
  <c r="Q38" i="4"/>
  <c r="P38" i="4"/>
  <c r="O38" i="4"/>
  <c r="N38" i="4"/>
  <c r="M38" i="4"/>
  <c r="L38" i="4"/>
  <c r="K38" i="4"/>
  <c r="J38" i="4"/>
  <c r="I38" i="4"/>
  <c r="U38" i="4" s="1"/>
  <c r="T37" i="4"/>
  <c r="S37" i="4"/>
  <c r="R37" i="4"/>
  <c r="Q37" i="4"/>
  <c r="P37" i="4"/>
  <c r="O37" i="4"/>
  <c r="N37" i="4"/>
  <c r="M37" i="4"/>
  <c r="L37" i="4"/>
  <c r="K37" i="4"/>
  <c r="J37" i="4"/>
  <c r="I37" i="4"/>
  <c r="U37" i="4" s="1"/>
  <c r="T36" i="4"/>
  <c r="S36" i="4"/>
  <c r="R36" i="4"/>
  <c r="Q36" i="4"/>
  <c r="P36" i="4"/>
  <c r="O36" i="4"/>
  <c r="N36" i="4"/>
  <c r="M36" i="4"/>
  <c r="L36" i="4"/>
  <c r="K36" i="4"/>
  <c r="J36" i="4"/>
  <c r="I36" i="4"/>
  <c r="U36" i="4" s="1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U34" i="4" s="1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U30" i="4" s="1"/>
  <c r="T29" i="4"/>
  <c r="S29" i="4"/>
  <c r="R29" i="4"/>
  <c r="Q29" i="4"/>
  <c r="P29" i="4"/>
  <c r="O29" i="4"/>
  <c r="N29" i="4"/>
  <c r="M29" i="4"/>
  <c r="L29" i="4"/>
  <c r="K29" i="4"/>
  <c r="J29" i="4"/>
  <c r="I29" i="4"/>
  <c r="U29" i="4" s="1"/>
  <c r="T28" i="4"/>
  <c r="S28" i="4"/>
  <c r="R28" i="4"/>
  <c r="Q28" i="4"/>
  <c r="P28" i="4"/>
  <c r="O28" i="4"/>
  <c r="N28" i="4"/>
  <c r="M28" i="4"/>
  <c r="L28" i="4"/>
  <c r="K28" i="4"/>
  <c r="J28" i="4"/>
  <c r="I28" i="4"/>
  <c r="U28" i="4" s="1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U26" i="4" s="1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U22" i="4" s="1"/>
  <c r="T21" i="4"/>
  <c r="S21" i="4"/>
  <c r="R21" i="4"/>
  <c r="Q21" i="4"/>
  <c r="P21" i="4"/>
  <c r="O21" i="4"/>
  <c r="N21" i="4"/>
  <c r="M21" i="4"/>
  <c r="L21" i="4"/>
  <c r="K21" i="4"/>
  <c r="J21" i="4"/>
  <c r="I21" i="4"/>
  <c r="U21" i="4" s="1"/>
  <c r="T20" i="4"/>
  <c r="S20" i="4"/>
  <c r="R20" i="4"/>
  <c r="Q20" i="4"/>
  <c r="P20" i="4"/>
  <c r="O20" i="4"/>
  <c r="N20" i="4"/>
  <c r="M20" i="4"/>
  <c r="L20" i="4"/>
  <c r="K20" i="4"/>
  <c r="J20" i="4"/>
  <c r="I20" i="4"/>
  <c r="U20" i="4" s="1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U18" i="4" s="1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U14" i="4" s="1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L12" i="4"/>
  <c r="K12" i="4"/>
  <c r="J12" i="4"/>
  <c r="I12" i="4"/>
  <c r="U12" i="4" s="1"/>
  <c r="T11" i="4"/>
  <c r="S11" i="4"/>
  <c r="R11" i="4"/>
  <c r="Q11" i="4"/>
  <c r="P11" i="4"/>
  <c r="O11" i="4"/>
  <c r="N11" i="4"/>
  <c r="M11" i="4"/>
  <c r="L11" i="4"/>
  <c r="K11" i="4"/>
  <c r="J11" i="4"/>
  <c r="I11" i="4"/>
  <c r="U11" i="4" s="1"/>
  <c r="T10" i="4"/>
  <c r="S10" i="4"/>
  <c r="R10" i="4"/>
  <c r="Q10" i="4"/>
  <c r="P10" i="4"/>
  <c r="O10" i="4"/>
  <c r="N10" i="4"/>
  <c r="M10" i="4"/>
  <c r="L10" i="4"/>
  <c r="K10" i="4"/>
  <c r="J10" i="4"/>
  <c r="I10" i="4"/>
  <c r="U10" i="4" s="1"/>
  <c r="T9" i="4"/>
  <c r="S9" i="4"/>
  <c r="R9" i="4"/>
  <c r="Q9" i="4"/>
  <c r="P9" i="4"/>
  <c r="O9" i="4"/>
  <c r="N9" i="4"/>
  <c r="M9" i="4"/>
  <c r="L9" i="4"/>
  <c r="K9" i="4"/>
  <c r="J9" i="4"/>
  <c r="I9" i="4"/>
  <c r="U9" i="4" s="1"/>
  <c r="T8" i="4"/>
  <c r="S8" i="4"/>
  <c r="R8" i="4"/>
  <c r="Q8" i="4"/>
  <c r="P8" i="4"/>
  <c r="O8" i="4"/>
  <c r="N8" i="4"/>
  <c r="M8" i="4"/>
  <c r="L8" i="4"/>
  <c r="K8" i="4"/>
  <c r="J8" i="4"/>
  <c r="I8" i="4"/>
  <c r="U8" i="4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U6" i="4" s="1"/>
  <c r="T5" i="4"/>
  <c r="S5" i="4"/>
  <c r="R5" i="4"/>
  <c r="Q5" i="4"/>
  <c r="P5" i="4"/>
  <c r="O5" i="4"/>
  <c r="N5" i="4"/>
  <c r="M5" i="4"/>
  <c r="L5" i="4"/>
  <c r="K5" i="4"/>
  <c r="J5" i="4"/>
  <c r="I5" i="4"/>
  <c r="U5" i="4" s="1"/>
  <c r="T4" i="4"/>
  <c r="S4" i="4"/>
  <c r="R4" i="4"/>
  <c r="Q4" i="4"/>
  <c r="P4" i="4"/>
  <c r="O4" i="4"/>
  <c r="N4" i="4"/>
  <c r="M4" i="4"/>
  <c r="L4" i="4"/>
  <c r="K4" i="4"/>
  <c r="J4" i="4"/>
  <c r="I4" i="4"/>
  <c r="U4" i="4" s="1"/>
  <c r="T3" i="4"/>
  <c r="S3" i="4"/>
  <c r="R3" i="4"/>
  <c r="Q3" i="4"/>
  <c r="P3" i="4"/>
  <c r="O3" i="4"/>
  <c r="N3" i="4"/>
  <c r="M3" i="4"/>
  <c r="L3" i="4"/>
  <c r="K3" i="4"/>
  <c r="J3" i="4"/>
  <c r="I3" i="4"/>
  <c r="U3" i="4" s="1"/>
  <c r="T2" i="4"/>
  <c r="S2" i="4"/>
  <c r="R2" i="4"/>
  <c r="Q2" i="4"/>
  <c r="P2" i="4"/>
  <c r="O2" i="4"/>
  <c r="N2" i="4"/>
  <c r="M2" i="4"/>
  <c r="L2" i="4"/>
  <c r="K2" i="4"/>
  <c r="J2" i="4"/>
  <c r="I2" i="4"/>
  <c r="U2" i="4" s="1"/>
  <c r="T48" i="3"/>
  <c r="S48" i="3"/>
  <c r="R48" i="3"/>
  <c r="Q48" i="3"/>
  <c r="P48" i="3"/>
  <c r="O48" i="3"/>
  <c r="N48" i="3"/>
  <c r="M48" i="3"/>
  <c r="L48" i="3"/>
  <c r="K48" i="3"/>
  <c r="J48" i="3"/>
  <c r="I48" i="3"/>
  <c r="U48" i="3" s="1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L43" i="3"/>
  <c r="K43" i="3"/>
  <c r="J43" i="3"/>
  <c r="I43" i="3"/>
  <c r="U43" i="3" s="1"/>
  <c r="T42" i="3"/>
  <c r="S42" i="3"/>
  <c r="R42" i="3"/>
  <c r="Q42" i="3"/>
  <c r="P42" i="3"/>
  <c r="O42" i="3"/>
  <c r="N42" i="3"/>
  <c r="M42" i="3"/>
  <c r="L42" i="3"/>
  <c r="K42" i="3"/>
  <c r="J42" i="3"/>
  <c r="I42" i="3"/>
  <c r="U42" i="3" s="1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U40" i="3" s="1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U38" i="3" s="1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J36" i="3"/>
  <c r="I36" i="3"/>
  <c r="U36" i="3" s="1"/>
  <c r="T35" i="3"/>
  <c r="S35" i="3"/>
  <c r="R35" i="3"/>
  <c r="Q35" i="3"/>
  <c r="P35" i="3"/>
  <c r="O35" i="3"/>
  <c r="N35" i="3"/>
  <c r="M35" i="3"/>
  <c r="L35" i="3"/>
  <c r="K35" i="3"/>
  <c r="J35" i="3"/>
  <c r="I35" i="3"/>
  <c r="U35" i="3" s="1"/>
  <c r="T34" i="3"/>
  <c r="S34" i="3"/>
  <c r="R34" i="3"/>
  <c r="Q34" i="3"/>
  <c r="P34" i="3"/>
  <c r="O34" i="3"/>
  <c r="N34" i="3"/>
  <c r="M34" i="3"/>
  <c r="L34" i="3"/>
  <c r="K34" i="3"/>
  <c r="J34" i="3"/>
  <c r="I34" i="3"/>
  <c r="U34" i="3" s="1"/>
  <c r="T33" i="3"/>
  <c r="S33" i="3"/>
  <c r="R33" i="3"/>
  <c r="Q33" i="3"/>
  <c r="P33" i="3"/>
  <c r="O33" i="3"/>
  <c r="N33" i="3"/>
  <c r="M33" i="3"/>
  <c r="L33" i="3"/>
  <c r="K33" i="3"/>
  <c r="J33" i="3"/>
  <c r="I33" i="3"/>
  <c r="U33" i="3" s="1"/>
  <c r="T32" i="3"/>
  <c r="S32" i="3"/>
  <c r="R32" i="3"/>
  <c r="Q32" i="3"/>
  <c r="P32" i="3"/>
  <c r="O32" i="3"/>
  <c r="N32" i="3"/>
  <c r="M32" i="3"/>
  <c r="L32" i="3"/>
  <c r="K32" i="3"/>
  <c r="J32" i="3"/>
  <c r="I32" i="3"/>
  <c r="U32" i="3" s="1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U30" i="3" s="1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J28" i="3"/>
  <c r="I28" i="3"/>
  <c r="U28" i="3" s="1"/>
  <c r="T27" i="3"/>
  <c r="S27" i="3"/>
  <c r="R27" i="3"/>
  <c r="Q27" i="3"/>
  <c r="P27" i="3"/>
  <c r="O27" i="3"/>
  <c r="N27" i="3"/>
  <c r="M27" i="3"/>
  <c r="L27" i="3"/>
  <c r="K27" i="3"/>
  <c r="J27" i="3"/>
  <c r="I27" i="3"/>
  <c r="U27" i="3" s="1"/>
  <c r="T26" i="3"/>
  <c r="S26" i="3"/>
  <c r="R26" i="3"/>
  <c r="Q26" i="3"/>
  <c r="P26" i="3"/>
  <c r="O26" i="3"/>
  <c r="N26" i="3"/>
  <c r="M26" i="3"/>
  <c r="L26" i="3"/>
  <c r="K26" i="3"/>
  <c r="J26" i="3"/>
  <c r="I26" i="3"/>
  <c r="U26" i="3" s="1"/>
  <c r="T25" i="3"/>
  <c r="S25" i="3"/>
  <c r="R25" i="3"/>
  <c r="Q25" i="3"/>
  <c r="P25" i="3"/>
  <c r="O25" i="3"/>
  <c r="N25" i="3"/>
  <c r="M25" i="3"/>
  <c r="L25" i="3"/>
  <c r="K25" i="3"/>
  <c r="J25" i="3"/>
  <c r="I25" i="3"/>
  <c r="U25" i="3" s="1"/>
  <c r="T24" i="3"/>
  <c r="S24" i="3"/>
  <c r="R24" i="3"/>
  <c r="Q24" i="3"/>
  <c r="P24" i="3"/>
  <c r="O24" i="3"/>
  <c r="N24" i="3"/>
  <c r="M24" i="3"/>
  <c r="L24" i="3"/>
  <c r="K24" i="3"/>
  <c r="J24" i="3"/>
  <c r="I24" i="3"/>
  <c r="U24" i="3" s="1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U22" i="3" s="1"/>
  <c r="T21" i="3"/>
  <c r="S21" i="3"/>
  <c r="R21" i="3"/>
  <c r="Q21" i="3"/>
  <c r="P21" i="3"/>
  <c r="O21" i="3"/>
  <c r="N21" i="3"/>
  <c r="M21" i="3"/>
  <c r="L21" i="3"/>
  <c r="K21" i="3"/>
  <c r="J21" i="3"/>
  <c r="I21" i="3"/>
  <c r="U21" i="3" s="1"/>
  <c r="T20" i="3"/>
  <c r="S20" i="3"/>
  <c r="R20" i="3"/>
  <c r="Q20" i="3"/>
  <c r="P20" i="3"/>
  <c r="O20" i="3"/>
  <c r="N20" i="3"/>
  <c r="M20" i="3"/>
  <c r="L20" i="3"/>
  <c r="K20" i="3"/>
  <c r="J20" i="3"/>
  <c r="I20" i="3"/>
  <c r="U20" i="3" s="1"/>
  <c r="T19" i="3"/>
  <c r="S19" i="3"/>
  <c r="R19" i="3"/>
  <c r="Q19" i="3"/>
  <c r="P19" i="3"/>
  <c r="O19" i="3"/>
  <c r="N19" i="3"/>
  <c r="M19" i="3"/>
  <c r="L19" i="3"/>
  <c r="K19" i="3"/>
  <c r="J19" i="3"/>
  <c r="I19" i="3"/>
  <c r="U19" i="3" s="1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U17" i="3" s="1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U14" i="3" s="1"/>
  <c r="T13" i="3"/>
  <c r="S13" i="3"/>
  <c r="R13" i="3"/>
  <c r="Q13" i="3"/>
  <c r="P13" i="3"/>
  <c r="O13" i="3"/>
  <c r="N13" i="3"/>
  <c r="M13" i="3"/>
  <c r="L13" i="3"/>
  <c r="K13" i="3"/>
  <c r="J13" i="3"/>
  <c r="I13" i="3"/>
  <c r="U13" i="3" s="1"/>
  <c r="T12" i="3"/>
  <c r="S12" i="3"/>
  <c r="R12" i="3"/>
  <c r="Q12" i="3"/>
  <c r="P12" i="3"/>
  <c r="O12" i="3"/>
  <c r="N12" i="3"/>
  <c r="M12" i="3"/>
  <c r="L12" i="3"/>
  <c r="K12" i="3"/>
  <c r="J12" i="3"/>
  <c r="I12" i="3"/>
  <c r="U12" i="3" s="1"/>
  <c r="T11" i="3"/>
  <c r="S11" i="3"/>
  <c r="R11" i="3"/>
  <c r="Q11" i="3"/>
  <c r="P11" i="3"/>
  <c r="O11" i="3"/>
  <c r="N11" i="3"/>
  <c r="M11" i="3"/>
  <c r="L11" i="3"/>
  <c r="K11" i="3"/>
  <c r="J11" i="3"/>
  <c r="I11" i="3"/>
  <c r="U11" i="3" s="1"/>
  <c r="T10" i="3"/>
  <c r="S10" i="3"/>
  <c r="R10" i="3"/>
  <c r="Q10" i="3"/>
  <c r="P10" i="3"/>
  <c r="O10" i="3"/>
  <c r="N10" i="3"/>
  <c r="M10" i="3"/>
  <c r="L10" i="3"/>
  <c r="K10" i="3"/>
  <c r="J10" i="3"/>
  <c r="I10" i="3"/>
  <c r="U10" i="3" s="1"/>
  <c r="T9" i="3"/>
  <c r="S9" i="3"/>
  <c r="R9" i="3"/>
  <c r="Q9" i="3"/>
  <c r="P9" i="3"/>
  <c r="O9" i="3"/>
  <c r="N9" i="3"/>
  <c r="M9" i="3"/>
  <c r="L9" i="3"/>
  <c r="K9" i="3"/>
  <c r="J9" i="3"/>
  <c r="I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U8" i="3" s="1"/>
  <c r="T7" i="3"/>
  <c r="S7" i="3"/>
  <c r="R7" i="3"/>
  <c r="Q7" i="3"/>
  <c r="P7" i="3"/>
  <c r="O7" i="3"/>
  <c r="N7" i="3"/>
  <c r="M7" i="3"/>
  <c r="L7" i="3"/>
  <c r="K7" i="3"/>
  <c r="J7" i="3"/>
  <c r="I7" i="3"/>
  <c r="U7" i="3" s="1"/>
  <c r="T6" i="3"/>
  <c r="S6" i="3"/>
  <c r="R6" i="3"/>
  <c r="Q6" i="3"/>
  <c r="P6" i="3"/>
  <c r="O6" i="3"/>
  <c r="N6" i="3"/>
  <c r="M6" i="3"/>
  <c r="L6" i="3"/>
  <c r="K6" i="3"/>
  <c r="J6" i="3"/>
  <c r="I6" i="3"/>
  <c r="U6" i="3" s="1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I4" i="3"/>
  <c r="U4" i="3" s="1"/>
  <c r="T3" i="3"/>
  <c r="S3" i="3"/>
  <c r="R3" i="3"/>
  <c r="Q3" i="3"/>
  <c r="P3" i="3"/>
  <c r="O3" i="3"/>
  <c r="N3" i="3"/>
  <c r="M3" i="3"/>
  <c r="L3" i="3"/>
  <c r="K3" i="3"/>
  <c r="J3" i="3"/>
  <c r="I3" i="3"/>
  <c r="U3" i="3" s="1"/>
  <c r="T2" i="3"/>
  <c r="S2" i="3"/>
  <c r="R2" i="3"/>
  <c r="Q2" i="3"/>
  <c r="P2" i="3"/>
  <c r="O2" i="3"/>
  <c r="N2" i="3"/>
  <c r="M2" i="3"/>
  <c r="L2" i="3"/>
  <c r="K2" i="3"/>
  <c r="J2" i="3"/>
  <c r="I2" i="3"/>
  <c r="U2" i="3" s="1"/>
  <c r="H1" i="2"/>
  <c r="I6" i="23" l="1"/>
  <c r="AY58" i="23" s="1"/>
  <c r="I6" i="14"/>
  <c r="I6" i="6"/>
  <c r="I6" i="8"/>
  <c r="I6" i="9"/>
  <c r="I6" i="7"/>
  <c r="I9" i="23"/>
  <c r="I9" i="14"/>
  <c r="I9" i="7"/>
  <c r="I9" i="6"/>
  <c r="I9" i="8"/>
  <c r="I9" i="9"/>
  <c r="I11" i="23"/>
  <c r="AQ63" i="23" s="1"/>
  <c r="I11" i="14"/>
  <c r="I11" i="8"/>
  <c r="I11" i="9"/>
  <c r="I11" i="7"/>
  <c r="I11" i="6"/>
  <c r="I13" i="23"/>
  <c r="I13" i="14"/>
  <c r="I13" i="7"/>
  <c r="I13" i="6"/>
  <c r="I13" i="8"/>
  <c r="I13" i="9"/>
  <c r="I18" i="23"/>
  <c r="I18" i="14"/>
  <c r="I18" i="8"/>
  <c r="I18" i="9"/>
  <c r="I18" i="6"/>
  <c r="I18" i="7"/>
  <c r="I23" i="23"/>
  <c r="I23" i="14"/>
  <c r="I23" i="8"/>
  <c r="I23" i="7"/>
  <c r="I23" i="9"/>
  <c r="I23" i="6"/>
  <c r="I29" i="23"/>
  <c r="I29" i="14"/>
  <c r="I29" i="7"/>
  <c r="I29" i="8"/>
  <c r="I29" i="9"/>
  <c r="I29" i="6"/>
  <c r="I32" i="23"/>
  <c r="I32" i="14"/>
  <c r="I32" i="9"/>
  <c r="I32" i="6"/>
  <c r="I32" i="8"/>
  <c r="I32" i="7"/>
  <c r="I36" i="23"/>
  <c r="I36" i="14"/>
  <c r="I36" i="9"/>
  <c r="I36" i="6"/>
  <c r="I36" i="8"/>
  <c r="I36" i="7"/>
  <c r="I40" i="23"/>
  <c r="I40" i="14"/>
  <c r="I40" i="9"/>
  <c r="I40" i="6"/>
  <c r="I40" i="8"/>
  <c r="I40" i="7"/>
  <c r="I42" i="23"/>
  <c r="I42" i="14"/>
  <c r="I42" i="8"/>
  <c r="I42" i="9"/>
  <c r="I42" i="6"/>
  <c r="I42" i="7"/>
  <c r="I47" i="23"/>
  <c r="I47" i="14"/>
  <c r="I47" i="8"/>
  <c r="I47" i="9"/>
  <c r="I47" i="7"/>
  <c r="I47" i="6"/>
  <c r="I49" i="23"/>
  <c r="I49" i="14"/>
  <c r="I49" i="7"/>
  <c r="I49" i="8"/>
  <c r="I49" i="9"/>
  <c r="I49" i="6"/>
  <c r="I6" i="24"/>
  <c r="AH48" i="24" s="1"/>
  <c r="I6" i="12"/>
  <c r="I6" i="11"/>
  <c r="I6" i="13"/>
  <c r="I6" i="10"/>
  <c r="I9" i="24"/>
  <c r="AE51" i="24" s="1"/>
  <c r="I9" i="13"/>
  <c r="I9" i="12"/>
  <c r="I9" i="11"/>
  <c r="I9" i="10"/>
  <c r="I11" i="24"/>
  <c r="I11" i="12"/>
  <c r="I11" i="11"/>
  <c r="I11" i="13"/>
  <c r="I11" i="10"/>
  <c r="I13" i="24"/>
  <c r="AH55" i="24" s="1"/>
  <c r="I13" i="13"/>
  <c r="I13" i="12"/>
  <c r="I13" i="11"/>
  <c r="I13" i="10"/>
  <c r="I15" i="24"/>
  <c r="I15" i="12"/>
  <c r="I15" i="11"/>
  <c r="I15" i="13"/>
  <c r="I15" i="10"/>
  <c r="I16" i="24"/>
  <c r="I16" i="12"/>
  <c r="I16" i="11"/>
  <c r="I16" i="10"/>
  <c r="I16" i="13"/>
  <c r="I18" i="24"/>
  <c r="AG60" i="24" s="1"/>
  <c r="I18" i="12"/>
  <c r="I18" i="11"/>
  <c r="I18" i="13"/>
  <c r="I18" i="10"/>
  <c r="I21" i="24"/>
  <c r="AA63" i="24" s="1"/>
  <c r="I21" i="13"/>
  <c r="I21" i="12"/>
  <c r="I21" i="11"/>
  <c r="I21" i="10"/>
  <c r="I23" i="24"/>
  <c r="I23" i="12"/>
  <c r="I23" i="11"/>
  <c r="I23" i="13"/>
  <c r="I23" i="10"/>
  <c r="I24" i="24"/>
  <c r="I24" i="12"/>
  <c r="I24" i="11"/>
  <c r="I24" i="10"/>
  <c r="I24" i="13"/>
  <c r="I28" i="24"/>
  <c r="I28" i="12"/>
  <c r="I28" i="11"/>
  <c r="I28" i="10"/>
  <c r="I28" i="13"/>
  <c r="I30" i="24"/>
  <c r="I30" i="12"/>
  <c r="I30" i="11"/>
  <c r="I30" i="10"/>
  <c r="I30" i="13"/>
  <c r="I31" i="24"/>
  <c r="I31" i="12"/>
  <c r="I31" i="11"/>
  <c r="I31" i="13"/>
  <c r="I31" i="10"/>
  <c r="I33" i="24"/>
  <c r="I33" i="13"/>
  <c r="I33" i="12"/>
  <c r="I33" i="11"/>
  <c r="I33" i="10"/>
  <c r="I35" i="24"/>
  <c r="I35" i="12"/>
  <c r="I35" i="11"/>
  <c r="I35" i="13"/>
  <c r="I35" i="10"/>
  <c r="I37" i="24"/>
  <c r="I37" i="13"/>
  <c r="I37" i="12"/>
  <c r="I37" i="11"/>
  <c r="I37" i="10"/>
  <c r="I39" i="24"/>
  <c r="I39" i="12"/>
  <c r="I39" i="11"/>
  <c r="I39" i="13"/>
  <c r="I39" i="10"/>
  <c r="I40" i="24"/>
  <c r="I40" i="12"/>
  <c r="I40" i="11"/>
  <c r="I40" i="10"/>
  <c r="I40" i="13"/>
  <c r="P12" i="5"/>
  <c r="P15" i="5" s="1"/>
  <c r="I5" i="23"/>
  <c r="I5" i="14"/>
  <c r="I5" i="7"/>
  <c r="I5" i="6"/>
  <c r="I5" i="8"/>
  <c r="I5" i="9"/>
  <c r="I8" i="23"/>
  <c r="AY60" i="23" s="1"/>
  <c r="I8" i="14"/>
  <c r="I8" i="9"/>
  <c r="I8" i="7"/>
  <c r="I8" i="6"/>
  <c r="I8" i="8"/>
  <c r="I14" i="23"/>
  <c r="I14" i="14"/>
  <c r="I14" i="6"/>
  <c r="I14" i="8"/>
  <c r="I14" i="9"/>
  <c r="I14" i="7"/>
  <c r="I17" i="23"/>
  <c r="I17" i="14"/>
  <c r="I17" i="7"/>
  <c r="I17" i="8"/>
  <c r="I17" i="9"/>
  <c r="I17" i="6"/>
  <c r="I19" i="23"/>
  <c r="I19" i="14"/>
  <c r="I19" i="8"/>
  <c r="I19" i="9"/>
  <c r="I19" i="6"/>
  <c r="I19" i="7"/>
  <c r="I24" i="23"/>
  <c r="I24" i="14"/>
  <c r="I24" i="9"/>
  <c r="I24" i="6"/>
  <c r="I24" i="7"/>
  <c r="I24" i="8"/>
  <c r="I28" i="23"/>
  <c r="I28" i="14"/>
  <c r="I28" i="9"/>
  <c r="I28" i="6"/>
  <c r="I28" i="8"/>
  <c r="I28" i="7"/>
  <c r="I34" i="23"/>
  <c r="I34" i="14"/>
  <c r="I34" i="8"/>
  <c r="I34" i="9"/>
  <c r="I34" i="6"/>
  <c r="I34" i="7"/>
  <c r="I37" i="23"/>
  <c r="I37" i="14"/>
  <c r="I37" i="7"/>
  <c r="I37" i="8"/>
  <c r="I37" i="9"/>
  <c r="I37" i="6"/>
  <c r="I43" i="23"/>
  <c r="I43" i="14"/>
  <c r="I43" i="8"/>
  <c r="I43" i="9"/>
  <c r="I43" i="7"/>
  <c r="I43" i="6"/>
  <c r="I45" i="23"/>
  <c r="I45" i="14"/>
  <c r="I45" i="7"/>
  <c r="I45" i="8"/>
  <c r="I45" i="9"/>
  <c r="I45" i="6"/>
  <c r="I51" i="23"/>
  <c r="I51" i="14"/>
  <c r="I51" i="8"/>
  <c r="I51" i="9"/>
  <c r="I51" i="7"/>
  <c r="I51" i="6"/>
  <c r="I7" i="24"/>
  <c r="I7" i="12"/>
  <c r="I7" i="11"/>
  <c r="I7" i="13"/>
  <c r="I7" i="10"/>
  <c r="I10" i="24"/>
  <c r="AF52" i="24" s="1"/>
  <c r="I10" i="12"/>
  <c r="I10" i="11"/>
  <c r="I10" i="13"/>
  <c r="I10" i="10"/>
  <c r="I27" i="24"/>
  <c r="I27" i="12"/>
  <c r="I27" i="11"/>
  <c r="I27" i="13"/>
  <c r="I27" i="10"/>
  <c r="I10" i="23"/>
  <c r="AY62" i="23" s="1"/>
  <c r="I10" i="14"/>
  <c r="I10" i="6"/>
  <c r="I10" i="8"/>
  <c r="I10" i="9"/>
  <c r="I10" i="7"/>
  <c r="I12" i="23"/>
  <c r="I12" i="14"/>
  <c r="I12" i="9"/>
  <c r="I12" i="7"/>
  <c r="I12" i="6"/>
  <c r="I12" i="8"/>
  <c r="I15" i="23"/>
  <c r="I15" i="14"/>
  <c r="I15" i="8"/>
  <c r="I15" i="9"/>
  <c r="I15" i="7"/>
  <c r="I15" i="6"/>
  <c r="I20" i="23"/>
  <c r="I20" i="14"/>
  <c r="I20" i="9"/>
  <c r="I20" i="6"/>
  <c r="I20" i="7"/>
  <c r="I20" i="8"/>
  <c r="I22" i="23"/>
  <c r="I22" i="14"/>
  <c r="I22" i="8"/>
  <c r="I22" i="9"/>
  <c r="I22" i="7"/>
  <c r="I22" i="6"/>
  <c r="I25" i="23"/>
  <c r="I25" i="14"/>
  <c r="I25" i="7"/>
  <c r="I25" i="8"/>
  <c r="I25" i="9"/>
  <c r="I25" i="6"/>
  <c r="I27" i="23"/>
  <c r="I27" i="14"/>
  <c r="I27" i="8"/>
  <c r="I27" i="9"/>
  <c r="I27" i="7"/>
  <c r="I27" i="6"/>
  <c r="I30" i="23"/>
  <c r="I30" i="14"/>
  <c r="I30" i="8"/>
  <c r="I30" i="9"/>
  <c r="I30" i="6"/>
  <c r="I30" i="7"/>
  <c r="I33" i="23"/>
  <c r="I33" i="14"/>
  <c r="I33" i="7"/>
  <c r="I33" i="8"/>
  <c r="I33" i="9"/>
  <c r="I33" i="6"/>
  <c r="I35" i="23"/>
  <c r="I35" i="14"/>
  <c r="I35" i="8"/>
  <c r="I35" i="9"/>
  <c r="I35" i="7"/>
  <c r="I35" i="6"/>
  <c r="I38" i="23"/>
  <c r="I38" i="14"/>
  <c r="I38" i="8"/>
  <c r="I38" i="9"/>
  <c r="I38" i="6"/>
  <c r="I38" i="7"/>
  <c r="I41" i="23"/>
  <c r="I41" i="14"/>
  <c r="I41" i="7"/>
  <c r="I41" i="8"/>
  <c r="I41" i="9"/>
  <c r="I41" i="6"/>
  <c r="I46" i="23"/>
  <c r="I46" i="14"/>
  <c r="I46" i="8"/>
  <c r="I46" i="9"/>
  <c r="I46" i="6"/>
  <c r="I46" i="7"/>
  <c r="I50" i="23"/>
  <c r="I50" i="14"/>
  <c r="I50" i="8"/>
  <c r="I50" i="9"/>
  <c r="I50" i="6"/>
  <c r="I50" i="7"/>
  <c r="M69" i="6" s="1"/>
  <c r="I19" i="24"/>
  <c r="I19" i="12"/>
  <c r="I19" i="11"/>
  <c r="I19" i="13"/>
  <c r="I19" i="10"/>
  <c r="P13" i="5"/>
  <c r="P16" i="5" s="1"/>
  <c r="I7" i="23"/>
  <c r="AQ59" i="23" s="1"/>
  <c r="I7" i="14"/>
  <c r="I7" i="8"/>
  <c r="I7" i="9"/>
  <c r="I7" i="7"/>
  <c r="I7" i="6"/>
  <c r="I16" i="23"/>
  <c r="I16" i="14"/>
  <c r="I16" i="9"/>
  <c r="I16" i="7"/>
  <c r="I16" i="6"/>
  <c r="I16" i="8"/>
  <c r="I21" i="23"/>
  <c r="I21" i="14"/>
  <c r="I21" i="7"/>
  <c r="I21" i="8"/>
  <c r="I21" i="9"/>
  <c r="I21" i="6"/>
  <c r="I26" i="23"/>
  <c r="I26" i="14"/>
  <c r="I26" i="8"/>
  <c r="I26" i="9"/>
  <c r="I26" i="6"/>
  <c r="I26" i="7"/>
  <c r="I31" i="23"/>
  <c r="I31" i="14"/>
  <c r="I31" i="8"/>
  <c r="I31" i="9"/>
  <c r="I31" i="7"/>
  <c r="I31" i="6"/>
  <c r="I39" i="23"/>
  <c r="I39" i="14"/>
  <c r="I39" i="8"/>
  <c r="I39" i="9"/>
  <c r="I39" i="7"/>
  <c r="I39" i="6"/>
  <c r="I44" i="23"/>
  <c r="I44" i="14"/>
  <c r="I44" i="9"/>
  <c r="I44" i="6"/>
  <c r="I44" i="8"/>
  <c r="I44" i="7"/>
  <c r="I48" i="23"/>
  <c r="I48" i="14"/>
  <c r="I48" i="9"/>
  <c r="I48" i="6"/>
  <c r="I48" i="8"/>
  <c r="I48" i="7"/>
  <c r="P14" i="5"/>
  <c r="P17" i="5" s="1"/>
  <c r="I5" i="24"/>
  <c r="AH47" i="24" s="1"/>
  <c r="I5" i="13"/>
  <c r="I5" i="12"/>
  <c r="I5" i="11"/>
  <c r="I5" i="10"/>
  <c r="I8" i="24"/>
  <c r="AD50" i="24" s="1"/>
  <c r="I8" i="12"/>
  <c r="I8" i="11"/>
  <c r="I8" i="10"/>
  <c r="I8" i="13"/>
  <c r="I12" i="24"/>
  <c r="AG54" i="24" s="1"/>
  <c r="I12" i="12"/>
  <c r="I12" i="11"/>
  <c r="I12" i="10"/>
  <c r="I12" i="13"/>
  <c r="I14" i="24"/>
  <c r="Y56" i="24" s="1"/>
  <c r="I14" i="12"/>
  <c r="I14" i="11"/>
  <c r="I14" i="13"/>
  <c r="I14" i="10"/>
  <c r="I17" i="24"/>
  <c r="I17" i="13"/>
  <c r="I17" i="12"/>
  <c r="I17" i="11"/>
  <c r="I17" i="10"/>
  <c r="I20" i="24"/>
  <c r="AC62" i="24" s="1"/>
  <c r="I20" i="12"/>
  <c r="I20" i="11"/>
  <c r="I20" i="10"/>
  <c r="I20" i="13"/>
  <c r="I22" i="24"/>
  <c r="Y64" i="24" s="1"/>
  <c r="I22" i="12"/>
  <c r="I22" i="11"/>
  <c r="I22" i="10"/>
  <c r="I22" i="13"/>
  <c r="I25" i="24"/>
  <c r="I25" i="13"/>
  <c r="I25" i="12"/>
  <c r="I25" i="11"/>
  <c r="I25" i="10"/>
  <c r="I26" i="24"/>
  <c r="I26" i="12"/>
  <c r="I26" i="11"/>
  <c r="I26" i="10"/>
  <c r="I26" i="13"/>
  <c r="I29" i="24"/>
  <c r="I29" i="13"/>
  <c r="I29" i="12"/>
  <c r="I29" i="11"/>
  <c r="I29" i="10"/>
  <c r="I32" i="24"/>
  <c r="I32" i="12"/>
  <c r="I32" i="11"/>
  <c r="I32" i="10"/>
  <c r="I32" i="13"/>
  <c r="I34" i="24"/>
  <c r="I34" i="12"/>
  <c r="I34" i="11"/>
  <c r="I34" i="10"/>
  <c r="I34" i="13"/>
  <c r="I36" i="24"/>
  <c r="I36" i="12"/>
  <c r="I36" i="11"/>
  <c r="I36" i="10"/>
  <c r="I36" i="13"/>
  <c r="I38" i="24"/>
  <c r="I38" i="12"/>
  <c r="I38" i="11"/>
  <c r="I38" i="10"/>
  <c r="I38" i="13"/>
  <c r="I41" i="24"/>
  <c r="I41" i="13"/>
  <c r="I41" i="12"/>
  <c r="I41" i="11"/>
  <c r="I41" i="10"/>
  <c r="AT2" i="16"/>
  <c r="AT7" i="16" s="1"/>
  <c r="AJ2" i="16"/>
  <c r="AO2" i="16"/>
  <c r="AO7" i="16" s="1"/>
  <c r="AJ3" i="16"/>
  <c r="AT3" i="16"/>
  <c r="AO4" i="16"/>
  <c r="AA10" i="21"/>
  <c r="AT6" i="16"/>
  <c r="AJ6" i="16"/>
  <c r="AO3" i="16"/>
  <c r="AJ4" i="16"/>
  <c r="AT4" i="16"/>
  <c r="AT5" i="16"/>
  <c r="AA9" i="21"/>
  <c r="AJ5" i="16"/>
  <c r="AC3" i="17"/>
  <c r="AC7" i="17"/>
  <c r="AC11" i="17"/>
  <c r="AC19" i="17"/>
  <c r="AC23" i="17"/>
  <c r="AC27" i="17"/>
  <c r="AC41" i="17"/>
  <c r="AI5" i="17" s="1"/>
  <c r="AC42" i="17"/>
  <c r="AC43" i="17"/>
  <c r="AC44" i="17"/>
  <c r="AC45" i="17"/>
  <c r="AC46" i="17"/>
  <c r="AC47" i="17"/>
  <c r="AC48" i="17"/>
  <c r="AC49" i="17"/>
  <c r="AC50" i="17"/>
  <c r="AC51" i="17"/>
  <c r="R11" i="21"/>
  <c r="X3" i="21"/>
  <c r="X5" i="21"/>
  <c r="AF5" i="21" s="1"/>
  <c r="AI6" i="21"/>
  <c r="AO5" i="16"/>
  <c r="AC4" i="17"/>
  <c r="AI8" i="17" s="1"/>
  <c r="AC8" i="17"/>
  <c r="AC12" i="17"/>
  <c r="AC20" i="17"/>
  <c r="AC24" i="17"/>
  <c r="AC25" i="17"/>
  <c r="AC28" i="17"/>
  <c r="Y6" i="21"/>
  <c r="AG6" i="21" s="1"/>
  <c r="D30" i="5"/>
  <c r="BB57" i="23"/>
  <c r="AX57" i="23"/>
  <c r="AT57" i="23"/>
  <c r="AP57" i="23"/>
  <c r="AL57" i="23"/>
  <c r="BA57" i="23"/>
  <c r="AW57" i="23"/>
  <c r="AS57" i="23"/>
  <c r="AO57" i="23"/>
  <c r="AK57" i="23"/>
  <c r="BD61" i="23"/>
  <c r="AZ61" i="23"/>
  <c r="AV61" i="23"/>
  <c r="AR61" i="23"/>
  <c r="AN61" i="23"/>
  <c r="AJ61" i="23"/>
  <c r="BB61" i="23"/>
  <c r="AX61" i="23"/>
  <c r="AT61" i="23"/>
  <c r="AP61" i="23"/>
  <c r="AL61" i="23"/>
  <c r="BA61" i="23"/>
  <c r="AW61" i="23"/>
  <c r="AS61" i="23"/>
  <c r="AO61" i="23"/>
  <c r="AK61" i="23"/>
  <c r="BD65" i="23"/>
  <c r="AZ65" i="23"/>
  <c r="AV65" i="23"/>
  <c r="AR65" i="23"/>
  <c r="AN65" i="23"/>
  <c r="AJ65" i="23"/>
  <c r="BC65" i="23"/>
  <c r="AY65" i="23"/>
  <c r="AU65" i="23"/>
  <c r="AQ65" i="23"/>
  <c r="AM65" i="23"/>
  <c r="AI65" i="23"/>
  <c r="BB65" i="23"/>
  <c r="AX65" i="23"/>
  <c r="AT65" i="23"/>
  <c r="AP65" i="23"/>
  <c r="AL65" i="23"/>
  <c r="BA65" i="23"/>
  <c r="AW65" i="23"/>
  <c r="AS65" i="23"/>
  <c r="AO65" i="23"/>
  <c r="AK65" i="23"/>
  <c r="BD69" i="23"/>
  <c r="AZ69" i="23"/>
  <c r="AV69" i="23"/>
  <c r="AR69" i="23"/>
  <c r="AN69" i="23"/>
  <c r="AJ69" i="23"/>
  <c r="BC69" i="23"/>
  <c r="AY69" i="23"/>
  <c r="AU69" i="23"/>
  <c r="AQ69" i="23"/>
  <c r="AM69" i="23"/>
  <c r="AI69" i="23"/>
  <c r="BB69" i="23"/>
  <c r="AX69" i="23"/>
  <c r="AT69" i="23"/>
  <c r="AP69" i="23"/>
  <c r="AL69" i="23"/>
  <c r="BA69" i="23"/>
  <c r="AW69" i="23"/>
  <c r="AS69" i="23"/>
  <c r="AO69" i="23"/>
  <c r="AK69" i="23"/>
  <c r="BC73" i="23"/>
  <c r="BB73" i="23"/>
  <c r="AX73" i="23"/>
  <c r="AT73" i="23"/>
  <c r="AP73" i="23"/>
  <c r="AL73" i="23"/>
  <c r="BA73" i="23"/>
  <c r="AW73" i="23"/>
  <c r="AS73" i="23"/>
  <c r="AO73" i="23"/>
  <c r="AK73" i="23"/>
  <c r="P73" i="23"/>
  <c r="AV73" i="23"/>
  <c r="AN73" i="23"/>
  <c r="BD73" i="23"/>
  <c r="AU73" i="23"/>
  <c r="AM73" i="23"/>
  <c r="AZ73" i="23"/>
  <c r="AR73" i="23"/>
  <c r="AJ73" i="23"/>
  <c r="AY73" i="23"/>
  <c r="AQ73" i="23"/>
  <c r="AI73" i="23"/>
  <c r="R73" i="23"/>
  <c r="BC77" i="23"/>
  <c r="AY77" i="23"/>
  <c r="AU77" i="23"/>
  <c r="AQ77" i="23"/>
  <c r="AM77" i="23"/>
  <c r="AI77" i="23"/>
  <c r="BB77" i="23"/>
  <c r="AX77" i="23"/>
  <c r="AT77" i="23"/>
  <c r="AP77" i="23"/>
  <c r="AL77" i="23"/>
  <c r="BA77" i="23"/>
  <c r="AW77" i="23"/>
  <c r="AS77" i="23"/>
  <c r="AO77" i="23"/>
  <c r="AK77" i="23"/>
  <c r="AR77" i="23"/>
  <c r="BD77" i="23"/>
  <c r="AN77" i="23"/>
  <c r="AZ77" i="23"/>
  <c r="AJ77" i="23"/>
  <c r="AV77" i="23"/>
  <c r="BD81" i="23"/>
  <c r="AZ81" i="23"/>
  <c r="AV81" i="23"/>
  <c r="AR81" i="23"/>
  <c r="AN81" i="23"/>
  <c r="AJ81" i="23"/>
  <c r="BC81" i="23"/>
  <c r="AY81" i="23"/>
  <c r="AU81" i="23"/>
  <c r="AQ81" i="23"/>
  <c r="AM81" i="23"/>
  <c r="AI81" i="23"/>
  <c r="R81" i="23"/>
  <c r="BB81" i="23"/>
  <c r="AX81" i="23"/>
  <c r="AT81" i="23"/>
  <c r="AP81" i="23"/>
  <c r="AL81" i="23"/>
  <c r="BA81" i="23"/>
  <c r="AW81" i="23"/>
  <c r="AS81" i="23"/>
  <c r="AO81" i="23"/>
  <c r="AK81" i="23"/>
  <c r="P81" i="23"/>
  <c r="BD85" i="23"/>
  <c r="AZ85" i="23"/>
  <c r="AV85" i="23"/>
  <c r="AR85" i="23"/>
  <c r="AN85" i="23"/>
  <c r="AJ85" i="23"/>
  <c r="BC85" i="23"/>
  <c r="AY85" i="23"/>
  <c r="AU85" i="23"/>
  <c r="AQ85" i="23"/>
  <c r="AM85" i="23"/>
  <c r="AI85" i="23"/>
  <c r="BB85" i="23"/>
  <c r="AX85" i="23"/>
  <c r="AT85" i="23"/>
  <c r="AP85" i="23"/>
  <c r="AL85" i="23"/>
  <c r="BA85" i="23"/>
  <c r="AW85" i="23"/>
  <c r="AS85" i="23"/>
  <c r="AO85" i="23"/>
  <c r="AK85" i="23"/>
  <c r="BA89" i="23"/>
  <c r="AW89" i="23"/>
  <c r="AS89" i="23"/>
  <c r="AO89" i="23"/>
  <c r="AK89" i="23"/>
  <c r="BD89" i="23"/>
  <c r="AZ89" i="23"/>
  <c r="AV89" i="23"/>
  <c r="AR89" i="23"/>
  <c r="AN89" i="23"/>
  <c r="AJ89" i="23"/>
  <c r="BC89" i="23"/>
  <c r="AY89" i="23"/>
  <c r="AU89" i="23"/>
  <c r="AQ89" i="23"/>
  <c r="AM89" i="23"/>
  <c r="AI89" i="23"/>
  <c r="BB89" i="23"/>
  <c r="AX89" i="23"/>
  <c r="AT89" i="23"/>
  <c r="AP89" i="23"/>
  <c r="AL89" i="23"/>
  <c r="BA93" i="23"/>
  <c r="AW93" i="23"/>
  <c r="AS93" i="23"/>
  <c r="AO93" i="23"/>
  <c r="AK93" i="23"/>
  <c r="BD93" i="23"/>
  <c r="AZ93" i="23"/>
  <c r="AV93" i="23"/>
  <c r="AR93" i="23"/>
  <c r="AN93" i="23"/>
  <c r="AJ93" i="23"/>
  <c r="BC93" i="23"/>
  <c r="AY93" i="23"/>
  <c r="AU93" i="23"/>
  <c r="AQ93" i="23"/>
  <c r="AM93" i="23"/>
  <c r="AI93" i="23"/>
  <c r="BB93" i="23"/>
  <c r="AX93" i="23"/>
  <c r="AT93" i="23"/>
  <c r="AP93" i="23"/>
  <c r="AL93" i="23"/>
  <c r="BA97" i="23"/>
  <c r="AW97" i="23"/>
  <c r="AS97" i="23"/>
  <c r="AO97" i="23"/>
  <c r="AK97" i="23"/>
  <c r="BD97" i="23"/>
  <c r="AZ97" i="23"/>
  <c r="AV97" i="23"/>
  <c r="AR97" i="23"/>
  <c r="AN97" i="23"/>
  <c r="AJ97" i="23"/>
  <c r="BC97" i="23"/>
  <c r="AY97" i="23"/>
  <c r="AU97" i="23"/>
  <c r="AQ97" i="23"/>
  <c r="AM97" i="23"/>
  <c r="AI97" i="23"/>
  <c r="BB97" i="23"/>
  <c r="AX97" i="23"/>
  <c r="AT97" i="23"/>
  <c r="AP97" i="23"/>
  <c r="AL97" i="23"/>
  <c r="BB101" i="23"/>
  <c r="AX101" i="23"/>
  <c r="AT101" i="23"/>
  <c r="AP101" i="23"/>
  <c r="BA101" i="23"/>
  <c r="AW101" i="23"/>
  <c r="AS101" i="23"/>
  <c r="AO101" i="23"/>
  <c r="BD101" i="23"/>
  <c r="AZ101" i="23"/>
  <c r="AV101" i="23"/>
  <c r="AR101" i="23"/>
  <c r="AN101" i="23"/>
  <c r="BC101" i="23"/>
  <c r="AY101" i="23"/>
  <c r="AU101" i="23"/>
  <c r="AQ101" i="23"/>
  <c r="AM101" i="23"/>
  <c r="AK101" i="23"/>
  <c r="AJ101" i="23"/>
  <c r="AI101" i="23"/>
  <c r="AL101" i="23"/>
  <c r="AM57" i="23"/>
  <c r="AU57" i="23"/>
  <c r="BC57" i="23"/>
  <c r="AI58" i="23"/>
  <c r="AM59" i="23"/>
  <c r="BC59" i="23"/>
  <c r="AQ60" i="23"/>
  <c r="AU61" i="23"/>
  <c r="AI62" i="23"/>
  <c r="AM63" i="23"/>
  <c r="BC63" i="23"/>
  <c r="BD58" i="23"/>
  <c r="AZ58" i="23"/>
  <c r="AV58" i="23"/>
  <c r="AR58" i="23"/>
  <c r="AN58" i="23"/>
  <c r="AJ58" i="23"/>
  <c r="BB58" i="23"/>
  <c r="AX58" i="23"/>
  <c r="AT58" i="23"/>
  <c r="AP58" i="23"/>
  <c r="AL58" i="23"/>
  <c r="BA58" i="23"/>
  <c r="AW58" i="23"/>
  <c r="AS58" i="23"/>
  <c r="AO58" i="23"/>
  <c r="AK58" i="23"/>
  <c r="BD62" i="23"/>
  <c r="AZ62" i="23"/>
  <c r="AV62" i="23"/>
  <c r="AR62" i="23"/>
  <c r="AN62" i="23"/>
  <c r="AJ62" i="23"/>
  <c r="BB62" i="23"/>
  <c r="AX62" i="23"/>
  <c r="AT62" i="23"/>
  <c r="AP62" i="23"/>
  <c r="AL62" i="23"/>
  <c r="BA62" i="23"/>
  <c r="AW62" i="23"/>
  <c r="AS62" i="23"/>
  <c r="AO62" i="23"/>
  <c r="AK62" i="23"/>
  <c r="BD66" i="23"/>
  <c r="AZ66" i="23"/>
  <c r="AV66" i="23"/>
  <c r="AR66" i="23"/>
  <c r="AN66" i="23"/>
  <c r="AJ66" i="23"/>
  <c r="BC66" i="23"/>
  <c r="AY66" i="23"/>
  <c r="AU66" i="23"/>
  <c r="AQ66" i="23"/>
  <c r="AM66" i="23"/>
  <c r="AI66" i="23"/>
  <c r="BB66" i="23"/>
  <c r="AX66" i="23"/>
  <c r="AT66" i="23"/>
  <c r="AP66" i="23"/>
  <c r="AL66" i="23"/>
  <c r="BA66" i="23"/>
  <c r="AW66" i="23"/>
  <c r="AS66" i="23"/>
  <c r="AO66" i="23"/>
  <c r="AK66" i="23"/>
  <c r="BB70" i="23"/>
  <c r="AX70" i="23"/>
  <c r="AT70" i="23"/>
  <c r="BA70" i="23"/>
  <c r="AW70" i="23"/>
  <c r="AS70" i="23"/>
  <c r="AZ70" i="23"/>
  <c r="AR70" i="23"/>
  <c r="AN70" i="23"/>
  <c r="AJ70" i="23"/>
  <c r="AY70" i="23"/>
  <c r="AQ70" i="23"/>
  <c r="AM70" i="23"/>
  <c r="AI70" i="23"/>
  <c r="BD70" i="23"/>
  <c r="AV70" i="23"/>
  <c r="AP70" i="23"/>
  <c r="AL70" i="23"/>
  <c r="BC70" i="23"/>
  <c r="AU70" i="23"/>
  <c r="AO70" i="23"/>
  <c r="AK70" i="23"/>
  <c r="BC74" i="23"/>
  <c r="AY74" i="23"/>
  <c r="AU74" i="23"/>
  <c r="AQ74" i="23"/>
  <c r="AM74" i="23"/>
  <c r="AI74" i="23"/>
  <c r="R74" i="23"/>
  <c r="BB74" i="23"/>
  <c r="AX74" i="23"/>
  <c r="AT74" i="23"/>
  <c r="AP74" i="23"/>
  <c r="AL74" i="23"/>
  <c r="BA74" i="23"/>
  <c r="AW74" i="23"/>
  <c r="AS74" i="23"/>
  <c r="AO74" i="23"/>
  <c r="AK74" i="23"/>
  <c r="P74" i="23"/>
  <c r="AV74" i="23"/>
  <c r="AR74" i="23"/>
  <c r="BD74" i="23"/>
  <c r="AN74" i="23"/>
  <c r="AZ74" i="23"/>
  <c r="AJ74" i="23"/>
  <c r="BC78" i="23"/>
  <c r="AY78" i="23"/>
  <c r="AU78" i="23"/>
  <c r="AQ78" i="23"/>
  <c r="AM78" i="23"/>
  <c r="AI78" i="23"/>
  <c r="R78" i="23"/>
  <c r="BB78" i="23"/>
  <c r="AX78" i="23"/>
  <c r="AT78" i="23"/>
  <c r="AP78" i="23"/>
  <c r="AL78" i="23"/>
  <c r="BA78" i="23"/>
  <c r="AW78" i="23"/>
  <c r="AS78" i="23"/>
  <c r="AO78" i="23"/>
  <c r="AK78" i="23"/>
  <c r="P78" i="23"/>
  <c r="AV78" i="23"/>
  <c r="AR78" i="23"/>
  <c r="BD78" i="23"/>
  <c r="AN78" i="23"/>
  <c r="AZ78" i="23"/>
  <c r="AJ78" i="23"/>
  <c r="BD82" i="23"/>
  <c r="AZ82" i="23"/>
  <c r="AV82" i="23"/>
  <c r="AR82" i="23"/>
  <c r="AN82" i="23"/>
  <c r="AJ82" i="23"/>
  <c r="BC82" i="23"/>
  <c r="AY82" i="23"/>
  <c r="AU82" i="23"/>
  <c r="AQ82" i="23"/>
  <c r="AM82" i="23"/>
  <c r="AI82" i="23"/>
  <c r="BB82" i="23"/>
  <c r="AX82" i="23"/>
  <c r="AT82" i="23"/>
  <c r="AP82" i="23"/>
  <c r="AL82" i="23"/>
  <c r="BA82" i="23"/>
  <c r="AW82" i="23"/>
  <c r="AS82" i="23"/>
  <c r="AO82" i="23"/>
  <c r="AK82" i="23"/>
  <c r="BA86" i="23"/>
  <c r="AW86" i="23"/>
  <c r="AS86" i="23"/>
  <c r="AO86" i="23"/>
  <c r="AK86" i="23"/>
  <c r="BD86" i="23"/>
  <c r="AZ86" i="23"/>
  <c r="AV86" i="23"/>
  <c r="AR86" i="23"/>
  <c r="AN86" i="23"/>
  <c r="AJ86" i="23"/>
  <c r="BC86" i="23"/>
  <c r="AY86" i="23"/>
  <c r="AU86" i="23"/>
  <c r="AQ86" i="23"/>
  <c r="AM86" i="23"/>
  <c r="AI86" i="23"/>
  <c r="BB86" i="23"/>
  <c r="AX86" i="23"/>
  <c r="AT86" i="23"/>
  <c r="AP86" i="23"/>
  <c r="AL86" i="23"/>
  <c r="BA90" i="23"/>
  <c r="AW90" i="23"/>
  <c r="AS90" i="23"/>
  <c r="AO90" i="23"/>
  <c r="AK90" i="23"/>
  <c r="BD90" i="23"/>
  <c r="AZ90" i="23"/>
  <c r="AV90" i="23"/>
  <c r="AR90" i="23"/>
  <c r="AN90" i="23"/>
  <c r="AJ90" i="23"/>
  <c r="BC90" i="23"/>
  <c r="AY90" i="23"/>
  <c r="AU90" i="23"/>
  <c r="AQ90" i="23"/>
  <c r="AM90" i="23"/>
  <c r="AI90" i="23"/>
  <c r="BB90" i="23"/>
  <c r="AX90" i="23"/>
  <c r="AT90" i="23"/>
  <c r="AP90" i="23"/>
  <c r="AL90" i="23"/>
  <c r="BA94" i="23"/>
  <c r="AW94" i="23"/>
  <c r="AS94" i="23"/>
  <c r="AO94" i="23"/>
  <c r="AK94" i="23"/>
  <c r="BD94" i="23"/>
  <c r="AZ94" i="23"/>
  <c r="AV94" i="23"/>
  <c r="AR94" i="23"/>
  <c r="AN94" i="23"/>
  <c r="AJ94" i="23"/>
  <c r="BC94" i="23"/>
  <c r="AY94" i="23"/>
  <c r="AU94" i="23"/>
  <c r="AQ94" i="23"/>
  <c r="AM94" i="23"/>
  <c r="AI94" i="23"/>
  <c r="BB94" i="23"/>
  <c r="AX94" i="23"/>
  <c r="AT94" i="23"/>
  <c r="AP94" i="23"/>
  <c r="AL94" i="23"/>
  <c r="BA98" i="23"/>
  <c r="AW98" i="23"/>
  <c r="AS98" i="23"/>
  <c r="AO98" i="23"/>
  <c r="AK98" i="23"/>
  <c r="BD98" i="23"/>
  <c r="AZ98" i="23"/>
  <c r="AV98" i="23"/>
  <c r="AR98" i="23"/>
  <c r="AN98" i="23"/>
  <c r="AJ98" i="23"/>
  <c r="BC98" i="23"/>
  <c r="AY98" i="23"/>
  <c r="AU98" i="23"/>
  <c r="AQ98" i="23"/>
  <c r="AM98" i="23"/>
  <c r="AI98" i="23"/>
  <c r="BB98" i="23"/>
  <c r="AX98" i="23"/>
  <c r="AT98" i="23"/>
  <c r="AP98" i="23"/>
  <c r="AL98" i="23"/>
  <c r="BB102" i="23"/>
  <c r="AX102" i="23"/>
  <c r="AT102" i="23"/>
  <c r="AP102" i="23"/>
  <c r="AL102" i="23"/>
  <c r="BA102" i="23"/>
  <c r="AW102" i="23"/>
  <c r="AS102" i="23"/>
  <c r="AO102" i="23"/>
  <c r="AK102" i="23"/>
  <c r="BD102" i="23"/>
  <c r="AZ102" i="23"/>
  <c r="AV102" i="23"/>
  <c r="AR102" i="23"/>
  <c r="AN102" i="23"/>
  <c r="AJ102" i="23"/>
  <c r="BC102" i="23"/>
  <c r="AY102" i="23"/>
  <c r="AU102" i="23"/>
  <c r="AQ102" i="23"/>
  <c r="AM102" i="23"/>
  <c r="AI102" i="23"/>
  <c r="AN57" i="23"/>
  <c r="AV57" i="23"/>
  <c r="BD57" i="23"/>
  <c r="AM58" i="23"/>
  <c r="BC58" i="23"/>
  <c r="AU60" i="23"/>
  <c r="AI61" i="23"/>
  <c r="AY61" i="23"/>
  <c r="AM62" i="23"/>
  <c r="BC62" i="23"/>
  <c r="BD59" i="23"/>
  <c r="AZ59" i="23"/>
  <c r="AV59" i="23"/>
  <c r="AR59" i="23"/>
  <c r="AN59" i="23"/>
  <c r="AJ59" i="23"/>
  <c r="BB59" i="23"/>
  <c r="AX59" i="23"/>
  <c r="AT59" i="23"/>
  <c r="AP59" i="23"/>
  <c r="AL59" i="23"/>
  <c r="BA59" i="23"/>
  <c r="AW59" i="23"/>
  <c r="AS59" i="23"/>
  <c r="AO59" i="23"/>
  <c r="AK59" i="23"/>
  <c r="BD63" i="23"/>
  <c r="AZ63" i="23"/>
  <c r="AV63" i="23"/>
  <c r="AR63" i="23"/>
  <c r="AN63" i="23"/>
  <c r="AJ63" i="23"/>
  <c r="BB63" i="23"/>
  <c r="AX63" i="23"/>
  <c r="AT63" i="23"/>
  <c r="AP63" i="23"/>
  <c r="AL63" i="23"/>
  <c r="BA63" i="23"/>
  <c r="AW63" i="23"/>
  <c r="AS63" i="23"/>
  <c r="AO63" i="23"/>
  <c r="AK63" i="23"/>
  <c r="BD67" i="23"/>
  <c r="AZ67" i="23"/>
  <c r="AV67" i="23"/>
  <c r="AR67" i="23"/>
  <c r="AN67" i="23"/>
  <c r="AJ67" i="23"/>
  <c r="BC67" i="23"/>
  <c r="AY67" i="23"/>
  <c r="AU67" i="23"/>
  <c r="AQ67" i="23"/>
  <c r="AM67" i="23"/>
  <c r="AI67" i="23"/>
  <c r="BB67" i="23"/>
  <c r="AX67" i="23"/>
  <c r="AT67" i="23"/>
  <c r="AP67" i="23"/>
  <c r="AL67" i="23"/>
  <c r="BA67" i="23"/>
  <c r="AW67" i="23"/>
  <c r="AS67" i="23"/>
  <c r="AO67" i="23"/>
  <c r="AK67" i="23"/>
  <c r="BB71" i="23"/>
  <c r="AX71" i="23"/>
  <c r="AT71" i="23"/>
  <c r="AP71" i="23"/>
  <c r="AL71" i="23"/>
  <c r="BA71" i="23"/>
  <c r="AW71" i="23"/>
  <c r="AS71" i="23"/>
  <c r="AO71" i="23"/>
  <c r="AK71" i="23"/>
  <c r="BD71" i="23"/>
  <c r="AV71" i="23"/>
  <c r="AN71" i="23"/>
  <c r="BC71" i="23"/>
  <c r="AU71" i="23"/>
  <c r="AM71" i="23"/>
  <c r="AZ71" i="23"/>
  <c r="AR71" i="23"/>
  <c r="AJ71" i="23"/>
  <c r="AY71" i="23"/>
  <c r="AQ71" i="23"/>
  <c r="AI71" i="23"/>
  <c r="BC75" i="23"/>
  <c r="AY75" i="23"/>
  <c r="AU75" i="23"/>
  <c r="AQ75" i="23"/>
  <c r="AM75" i="23"/>
  <c r="AI75" i="23"/>
  <c r="R75" i="23"/>
  <c r="BB75" i="23"/>
  <c r="AX75" i="23"/>
  <c r="AT75" i="23"/>
  <c r="AP75" i="23"/>
  <c r="AL75" i="23"/>
  <c r="BA75" i="23"/>
  <c r="AW75" i="23"/>
  <c r="AS75" i="23"/>
  <c r="AO75" i="23"/>
  <c r="AK75" i="23"/>
  <c r="P75" i="23"/>
  <c r="AZ75" i="23"/>
  <c r="AJ75" i="23"/>
  <c r="AV75" i="23"/>
  <c r="AR75" i="23"/>
  <c r="BD75" i="23"/>
  <c r="AN75" i="23"/>
  <c r="BC79" i="23"/>
  <c r="AY79" i="23"/>
  <c r="AU79" i="23"/>
  <c r="AQ79" i="23"/>
  <c r="AM79" i="23"/>
  <c r="AI79" i="23"/>
  <c r="R79" i="23"/>
  <c r="BB79" i="23"/>
  <c r="AX79" i="23"/>
  <c r="AT79" i="23"/>
  <c r="AP79" i="23"/>
  <c r="AL79" i="23"/>
  <c r="BA79" i="23"/>
  <c r="AW79" i="23"/>
  <c r="AS79" i="23"/>
  <c r="AO79" i="23"/>
  <c r="AK79" i="23"/>
  <c r="P79" i="23"/>
  <c r="AZ79" i="23"/>
  <c r="AJ79" i="23"/>
  <c r="AV79" i="23"/>
  <c r="AR79" i="23"/>
  <c r="BD79" i="23"/>
  <c r="AN79" i="23"/>
  <c r="BD83" i="23"/>
  <c r="AZ83" i="23"/>
  <c r="AV83" i="23"/>
  <c r="AR83" i="23"/>
  <c r="AN83" i="23"/>
  <c r="AJ83" i="23"/>
  <c r="BC83" i="23"/>
  <c r="AY83" i="23"/>
  <c r="AU83" i="23"/>
  <c r="AQ83" i="23"/>
  <c r="AM83" i="23"/>
  <c r="AI83" i="23"/>
  <c r="BB83" i="23"/>
  <c r="AX83" i="23"/>
  <c r="AT83" i="23"/>
  <c r="AP83" i="23"/>
  <c r="AL83" i="23"/>
  <c r="BA83" i="23"/>
  <c r="AW83" i="23"/>
  <c r="AS83" i="23"/>
  <c r="AO83" i="23"/>
  <c r="AK83" i="23"/>
  <c r="BA87" i="23"/>
  <c r="AW87" i="23"/>
  <c r="AS87" i="23"/>
  <c r="AO87" i="23"/>
  <c r="AK87" i="23"/>
  <c r="BD87" i="23"/>
  <c r="AZ87" i="23"/>
  <c r="AV87" i="23"/>
  <c r="AR87" i="23"/>
  <c r="AN87" i="23"/>
  <c r="AJ87" i="23"/>
  <c r="BC87" i="23"/>
  <c r="AY87" i="23"/>
  <c r="AU87" i="23"/>
  <c r="AQ87" i="23"/>
  <c r="AM87" i="23"/>
  <c r="AI87" i="23"/>
  <c r="BB87" i="23"/>
  <c r="AX87" i="23"/>
  <c r="AT87" i="23"/>
  <c r="AP87" i="23"/>
  <c r="AL87" i="23"/>
  <c r="BA91" i="23"/>
  <c r="AW91" i="23"/>
  <c r="AS91" i="23"/>
  <c r="AO91" i="23"/>
  <c r="AK91" i="23"/>
  <c r="BD91" i="23"/>
  <c r="AZ91" i="23"/>
  <c r="AV91" i="23"/>
  <c r="AR91" i="23"/>
  <c r="AN91" i="23"/>
  <c r="AJ91" i="23"/>
  <c r="BC91" i="23"/>
  <c r="AY91" i="23"/>
  <c r="AU91" i="23"/>
  <c r="AQ91" i="23"/>
  <c r="AM91" i="23"/>
  <c r="AI91" i="23"/>
  <c r="BB91" i="23"/>
  <c r="AX91" i="23"/>
  <c r="AT91" i="23"/>
  <c r="AP91" i="23"/>
  <c r="AL91" i="23"/>
  <c r="BA95" i="23"/>
  <c r="AW95" i="23"/>
  <c r="AS95" i="23"/>
  <c r="AO95" i="23"/>
  <c r="AK95" i="23"/>
  <c r="BD95" i="23"/>
  <c r="AZ95" i="23"/>
  <c r="AV95" i="23"/>
  <c r="AR95" i="23"/>
  <c r="AN95" i="23"/>
  <c r="AJ95" i="23"/>
  <c r="BC95" i="23"/>
  <c r="AY95" i="23"/>
  <c r="AU95" i="23"/>
  <c r="AQ95" i="23"/>
  <c r="AM95" i="23"/>
  <c r="AI95" i="23"/>
  <c r="BB95" i="23"/>
  <c r="AX95" i="23"/>
  <c r="AT95" i="23"/>
  <c r="AP95" i="23"/>
  <c r="AL95" i="23"/>
  <c r="BA99" i="23"/>
  <c r="AW99" i="23"/>
  <c r="AS99" i="23"/>
  <c r="AO99" i="23"/>
  <c r="AK99" i="23"/>
  <c r="BD99" i="23"/>
  <c r="AZ99" i="23"/>
  <c r="AV99" i="23"/>
  <c r="AR99" i="23"/>
  <c r="AN99" i="23"/>
  <c r="AJ99" i="23"/>
  <c r="BC99" i="23"/>
  <c r="AY99" i="23"/>
  <c r="AU99" i="23"/>
  <c r="AQ99" i="23"/>
  <c r="AM99" i="23"/>
  <c r="AI99" i="23"/>
  <c r="BB99" i="23"/>
  <c r="AX99" i="23"/>
  <c r="AT99" i="23"/>
  <c r="AP99" i="23"/>
  <c r="AL99" i="23"/>
  <c r="BB103" i="23"/>
  <c r="AX103" i="23"/>
  <c r="AT103" i="23"/>
  <c r="AP103" i="23"/>
  <c r="AL103" i="23"/>
  <c r="BA103" i="23"/>
  <c r="AW103" i="23"/>
  <c r="AS103" i="23"/>
  <c r="AO103" i="23"/>
  <c r="AK103" i="23"/>
  <c r="BD103" i="23"/>
  <c r="AZ103" i="23"/>
  <c r="AV103" i="23"/>
  <c r="AR103" i="23"/>
  <c r="AN103" i="23"/>
  <c r="AJ103" i="23"/>
  <c r="BC103" i="23"/>
  <c r="AY103" i="23"/>
  <c r="AU103" i="23"/>
  <c r="AQ103" i="23"/>
  <c r="AM103" i="23"/>
  <c r="AI103" i="23"/>
  <c r="AI57" i="23"/>
  <c r="AQ57" i="23"/>
  <c r="AY57" i="23"/>
  <c r="AQ58" i="23"/>
  <c r="AU59" i="23"/>
  <c r="AI60" i="23"/>
  <c r="AM61" i="23"/>
  <c r="BC61" i="23"/>
  <c r="AQ62" i="23"/>
  <c r="AU63" i="23"/>
  <c r="BD60" i="23"/>
  <c r="AZ60" i="23"/>
  <c r="AV60" i="23"/>
  <c r="AR60" i="23"/>
  <c r="AN60" i="23"/>
  <c r="AJ60" i="23"/>
  <c r="BB60" i="23"/>
  <c r="AX60" i="23"/>
  <c r="AT60" i="23"/>
  <c r="AP60" i="23"/>
  <c r="AL60" i="23"/>
  <c r="BA60" i="23"/>
  <c r="AW60" i="23"/>
  <c r="AS60" i="23"/>
  <c r="AO60" i="23"/>
  <c r="AK60" i="23"/>
  <c r="BD64" i="23"/>
  <c r="AZ64" i="23"/>
  <c r="AV64" i="23"/>
  <c r="AR64" i="23"/>
  <c r="AN64" i="23"/>
  <c r="AJ64" i="23"/>
  <c r="BC64" i="23"/>
  <c r="AY64" i="23"/>
  <c r="AU64" i="23"/>
  <c r="AQ64" i="23"/>
  <c r="AM64" i="23"/>
  <c r="AI64" i="23"/>
  <c r="BB64" i="23"/>
  <c r="AX64" i="23"/>
  <c r="AT64" i="23"/>
  <c r="AP64" i="23"/>
  <c r="AL64" i="23"/>
  <c r="BA64" i="23"/>
  <c r="AW64" i="23"/>
  <c r="AS64" i="23"/>
  <c r="AO64" i="23"/>
  <c r="AK64" i="23"/>
  <c r="BD68" i="23"/>
  <c r="AZ68" i="23"/>
  <c r="AV68" i="23"/>
  <c r="AR68" i="23"/>
  <c r="AN68" i="23"/>
  <c r="AJ68" i="23"/>
  <c r="BC68" i="23"/>
  <c r="AY68" i="23"/>
  <c r="AU68" i="23"/>
  <c r="AQ68" i="23"/>
  <c r="AM68" i="23"/>
  <c r="AI68" i="23"/>
  <c r="BB68" i="23"/>
  <c r="AX68" i="23"/>
  <c r="AT68" i="23"/>
  <c r="AP68" i="23"/>
  <c r="AL68" i="23"/>
  <c r="BA68" i="23"/>
  <c r="AW68" i="23"/>
  <c r="AS68" i="23"/>
  <c r="AO68" i="23"/>
  <c r="AK68" i="23"/>
  <c r="BB72" i="23"/>
  <c r="AX72" i="23"/>
  <c r="AT72" i="23"/>
  <c r="AP72" i="23"/>
  <c r="AL72" i="23"/>
  <c r="BA72" i="23"/>
  <c r="AW72" i="23"/>
  <c r="AS72" i="23"/>
  <c r="AO72" i="23"/>
  <c r="AK72" i="23"/>
  <c r="AZ72" i="23"/>
  <c r="AR72" i="23"/>
  <c r="AJ72" i="23"/>
  <c r="AY72" i="23"/>
  <c r="AQ72" i="23"/>
  <c r="AI72" i="23"/>
  <c r="BD72" i="23"/>
  <c r="AV72" i="23"/>
  <c r="AN72" i="23"/>
  <c r="BC72" i="23"/>
  <c r="AU72" i="23"/>
  <c r="AM72" i="23"/>
  <c r="BC76" i="23"/>
  <c r="AY76" i="23"/>
  <c r="AU76" i="23"/>
  <c r="AQ76" i="23"/>
  <c r="AM76" i="23"/>
  <c r="AI76" i="23"/>
  <c r="R76" i="23"/>
  <c r="BB76" i="23"/>
  <c r="AX76" i="23"/>
  <c r="AT76" i="23"/>
  <c r="AP76" i="23"/>
  <c r="AL76" i="23"/>
  <c r="BA76" i="23"/>
  <c r="AW76" i="23"/>
  <c r="AS76" i="23"/>
  <c r="AO76" i="23"/>
  <c r="AK76" i="23"/>
  <c r="P76" i="23"/>
  <c r="BD76" i="23"/>
  <c r="AN76" i="23"/>
  <c r="AZ76" i="23"/>
  <c r="AJ76" i="23"/>
  <c r="AV76" i="23"/>
  <c r="AR76" i="23"/>
  <c r="BD80" i="23"/>
  <c r="AZ80" i="23"/>
  <c r="AV80" i="23"/>
  <c r="AR80" i="23"/>
  <c r="AN80" i="23"/>
  <c r="AJ80" i="23"/>
  <c r="BC80" i="23"/>
  <c r="AY80" i="23"/>
  <c r="AU80" i="23"/>
  <c r="AQ80" i="23"/>
  <c r="AM80" i="23"/>
  <c r="AI80" i="23"/>
  <c r="R80" i="23"/>
  <c r="BB80" i="23"/>
  <c r="AX80" i="23"/>
  <c r="AT80" i="23"/>
  <c r="AP80" i="23"/>
  <c r="AL80" i="23"/>
  <c r="BA80" i="23"/>
  <c r="AW80" i="23"/>
  <c r="AS80" i="23"/>
  <c r="AO80" i="23"/>
  <c r="AK80" i="23"/>
  <c r="P80" i="23"/>
  <c r="BD84" i="23"/>
  <c r="AZ84" i="23"/>
  <c r="AV84" i="23"/>
  <c r="AR84" i="23"/>
  <c r="AN84" i="23"/>
  <c r="AJ84" i="23"/>
  <c r="BC84" i="23"/>
  <c r="AY84" i="23"/>
  <c r="AU84" i="23"/>
  <c r="AQ84" i="23"/>
  <c r="AM84" i="23"/>
  <c r="AI84" i="23"/>
  <c r="BB84" i="23"/>
  <c r="AX84" i="23"/>
  <c r="AT84" i="23"/>
  <c r="AP84" i="23"/>
  <c r="AL84" i="23"/>
  <c r="BA84" i="23"/>
  <c r="AW84" i="23"/>
  <c r="AS84" i="23"/>
  <c r="AO84" i="23"/>
  <c r="AK84" i="23"/>
  <c r="BA88" i="23"/>
  <c r="AW88" i="23"/>
  <c r="AS88" i="23"/>
  <c r="AO88" i="23"/>
  <c r="AK88" i="23"/>
  <c r="BD88" i="23"/>
  <c r="AZ88" i="23"/>
  <c r="AV88" i="23"/>
  <c r="AR88" i="23"/>
  <c r="AN88" i="23"/>
  <c r="AJ88" i="23"/>
  <c r="BC88" i="23"/>
  <c r="AY88" i="23"/>
  <c r="AU88" i="23"/>
  <c r="AQ88" i="23"/>
  <c r="AM88" i="23"/>
  <c r="AI88" i="23"/>
  <c r="BB88" i="23"/>
  <c r="AX88" i="23"/>
  <c r="AT88" i="23"/>
  <c r="AP88" i="23"/>
  <c r="AL88" i="23"/>
  <c r="BA92" i="23"/>
  <c r="AW92" i="23"/>
  <c r="AS92" i="23"/>
  <c r="AO92" i="23"/>
  <c r="AK92" i="23"/>
  <c r="BD92" i="23"/>
  <c r="AZ92" i="23"/>
  <c r="AV92" i="23"/>
  <c r="AR92" i="23"/>
  <c r="AN92" i="23"/>
  <c r="AJ92" i="23"/>
  <c r="BC92" i="23"/>
  <c r="AY92" i="23"/>
  <c r="AU92" i="23"/>
  <c r="AQ92" i="23"/>
  <c r="AM92" i="23"/>
  <c r="AI92" i="23"/>
  <c r="BB92" i="23"/>
  <c r="AX92" i="23"/>
  <c r="AT92" i="23"/>
  <c r="AP92" i="23"/>
  <c r="AL92" i="23"/>
  <c r="BA96" i="23"/>
  <c r="AW96" i="23"/>
  <c r="AS96" i="23"/>
  <c r="AO96" i="23"/>
  <c r="AK96" i="23"/>
  <c r="BD96" i="23"/>
  <c r="AZ96" i="23"/>
  <c r="AV96" i="23"/>
  <c r="AR96" i="23"/>
  <c r="AN96" i="23"/>
  <c r="AJ96" i="23"/>
  <c r="BC96" i="23"/>
  <c r="AY96" i="23"/>
  <c r="AU96" i="23"/>
  <c r="AQ96" i="23"/>
  <c r="AM96" i="23"/>
  <c r="AI96" i="23"/>
  <c r="BB96" i="23"/>
  <c r="AX96" i="23"/>
  <c r="AT96" i="23"/>
  <c r="AP96" i="23"/>
  <c r="AL96" i="23"/>
  <c r="BA100" i="23"/>
  <c r="AW100" i="23"/>
  <c r="AS100" i="23"/>
  <c r="AO100" i="23"/>
  <c r="AK100" i="23"/>
  <c r="BD100" i="23"/>
  <c r="AZ100" i="23"/>
  <c r="AV100" i="23"/>
  <c r="AR100" i="23"/>
  <c r="AN100" i="23"/>
  <c r="AJ100" i="23"/>
  <c r="BC100" i="23"/>
  <c r="AY100" i="23"/>
  <c r="AU100" i="23"/>
  <c r="AQ100" i="23"/>
  <c r="AM100" i="23"/>
  <c r="AI100" i="23"/>
  <c r="BB100" i="23"/>
  <c r="AX100" i="23"/>
  <c r="AT100" i="23"/>
  <c r="AP100" i="23"/>
  <c r="AL100" i="23"/>
  <c r="AJ57" i="23"/>
  <c r="AR57" i="23"/>
  <c r="AZ57" i="23"/>
  <c r="AU58" i="23"/>
  <c r="AI59" i="23"/>
  <c r="AY59" i="23"/>
  <c r="AM60" i="23"/>
  <c r="BC60" i="23"/>
  <c r="AQ61" i="23"/>
  <c r="AU62" i="23"/>
  <c r="AI63" i="23"/>
  <c r="AY63" i="23"/>
  <c r="L10" i="26"/>
  <c r="AG49" i="24"/>
  <c r="AC49" i="24"/>
  <c r="Y49" i="24"/>
  <c r="AG53" i="24"/>
  <c r="AC53" i="24"/>
  <c r="Y53" i="24"/>
  <c r="AF57" i="24"/>
  <c r="AB57" i="24"/>
  <c r="X57" i="24"/>
  <c r="AH57" i="24"/>
  <c r="AD57" i="24"/>
  <c r="Z57" i="24"/>
  <c r="AG57" i="24"/>
  <c r="AC57" i="24"/>
  <c r="Y57" i="24"/>
  <c r="AF61" i="24"/>
  <c r="AB61" i="24"/>
  <c r="X61" i="24"/>
  <c r="AH61" i="24"/>
  <c r="AD61" i="24"/>
  <c r="Z61" i="24"/>
  <c r="AG61" i="24"/>
  <c r="AC61" i="24"/>
  <c r="Y61" i="24"/>
  <c r="AF65" i="24"/>
  <c r="AB65" i="24"/>
  <c r="X65" i="24"/>
  <c r="AH65" i="24"/>
  <c r="AD65" i="24"/>
  <c r="Z65" i="24"/>
  <c r="AG65" i="24"/>
  <c r="AC65" i="24"/>
  <c r="Y65" i="24"/>
  <c r="AF69" i="24"/>
  <c r="AH69" i="24"/>
  <c r="AG69" i="24"/>
  <c r="AC69" i="24"/>
  <c r="Y69" i="24"/>
  <c r="AE69" i="24"/>
  <c r="Z69" i="24"/>
  <c r="AD69" i="24"/>
  <c r="X69" i="24"/>
  <c r="AB69" i="24"/>
  <c r="AA69" i="24"/>
  <c r="AF73" i="24"/>
  <c r="AB73" i="24"/>
  <c r="X73" i="24"/>
  <c r="AH73" i="24"/>
  <c r="AD73" i="24"/>
  <c r="Z73" i="24"/>
  <c r="AG73" i="24"/>
  <c r="AC73" i="24"/>
  <c r="Y73" i="24"/>
  <c r="AE73" i="24"/>
  <c r="AA73" i="24"/>
  <c r="AF77" i="24"/>
  <c r="AB77" i="24"/>
  <c r="X77" i="24"/>
  <c r="AH77" i="24"/>
  <c r="AD77" i="24"/>
  <c r="Z77" i="24"/>
  <c r="AG77" i="24"/>
  <c r="AC77" i="24"/>
  <c r="Y77" i="24"/>
  <c r="AE77" i="24"/>
  <c r="AA77" i="24"/>
  <c r="AF81" i="24"/>
  <c r="AB81" i="24"/>
  <c r="X81" i="24"/>
  <c r="AE81" i="24"/>
  <c r="AA81" i="24"/>
  <c r="AH81" i="24"/>
  <c r="AD81" i="24"/>
  <c r="Z81" i="24"/>
  <c r="AG81" i="24"/>
  <c r="AC81" i="24"/>
  <c r="Y81" i="24"/>
  <c r="AA47" i="24"/>
  <c r="AF47" i="24"/>
  <c r="Z48" i="24"/>
  <c r="AF48" i="24"/>
  <c r="Z49" i="24"/>
  <c r="AE49" i="24"/>
  <c r="Y50" i="24"/>
  <c r="X51" i="24"/>
  <c r="AD51" i="24"/>
  <c r="X52" i="24"/>
  <c r="AC52" i="24"/>
  <c r="AH52" i="24"/>
  <c r="AB53" i="24"/>
  <c r="AH53" i="24"/>
  <c r="AB54" i="24"/>
  <c r="AA55" i="24"/>
  <c r="AF55" i="24"/>
  <c r="AG56" i="24"/>
  <c r="AA57" i="24"/>
  <c r="AE59" i="24"/>
  <c r="Y60" i="24"/>
  <c r="AG64" i="24"/>
  <c r="AA65" i="24"/>
  <c r="AE67" i="24"/>
  <c r="Y68" i="24"/>
  <c r="AE50" i="24"/>
  <c r="AA50" i="24"/>
  <c r="AE54" i="24"/>
  <c r="AA54" i="24"/>
  <c r="AH58" i="24"/>
  <c r="AD58" i="24"/>
  <c r="Z58" i="24"/>
  <c r="AF58" i="24"/>
  <c r="AB58" i="24"/>
  <c r="X58" i="24"/>
  <c r="AE58" i="24"/>
  <c r="AA58" i="24"/>
  <c r="AH62" i="24"/>
  <c r="AD62" i="24"/>
  <c r="Z62" i="24"/>
  <c r="AF62" i="24"/>
  <c r="AB62" i="24"/>
  <c r="X62" i="24"/>
  <c r="AE62" i="24"/>
  <c r="AA62" i="24"/>
  <c r="AH66" i="24"/>
  <c r="AD66" i="24"/>
  <c r="Z66" i="24"/>
  <c r="AF66" i="24"/>
  <c r="AB66" i="24"/>
  <c r="X66" i="24"/>
  <c r="AE66" i="24"/>
  <c r="AA66" i="24"/>
  <c r="AH70" i="24"/>
  <c r="AD70" i="24"/>
  <c r="Z70" i="24"/>
  <c r="AF70" i="24"/>
  <c r="AB70" i="24"/>
  <c r="X70" i="24"/>
  <c r="AE70" i="24"/>
  <c r="AA70" i="24"/>
  <c r="Y70" i="24"/>
  <c r="AG70" i="24"/>
  <c r="AC70" i="24"/>
  <c r="AH74" i="24"/>
  <c r="AD74" i="24"/>
  <c r="Z74" i="24"/>
  <c r="AF74" i="24"/>
  <c r="AB74" i="24"/>
  <c r="X74" i="24"/>
  <c r="AE74" i="24"/>
  <c r="AA74" i="24"/>
  <c r="AG74" i="24"/>
  <c r="AC74" i="24"/>
  <c r="Y74" i="24"/>
  <c r="AH78" i="24"/>
  <c r="AD78" i="24"/>
  <c r="Z78" i="24"/>
  <c r="AG78" i="24"/>
  <c r="AC78" i="24"/>
  <c r="Y78" i="24"/>
  <c r="AF78" i="24"/>
  <c r="AB78" i="24"/>
  <c r="X78" i="24"/>
  <c r="AE78" i="24"/>
  <c r="AA78" i="24"/>
  <c r="AH82" i="24"/>
  <c r="AD82" i="24"/>
  <c r="Z82" i="24"/>
  <c r="AG82" i="24"/>
  <c r="AC82" i="24"/>
  <c r="Y82" i="24"/>
  <c r="AF82" i="24"/>
  <c r="AB82" i="24"/>
  <c r="X82" i="24"/>
  <c r="AE82" i="24"/>
  <c r="AA82" i="24"/>
  <c r="AB47" i="24"/>
  <c r="AB48" i="24"/>
  <c r="AG48" i="24"/>
  <c r="AA49" i="24"/>
  <c r="AF49" i="24"/>
  <c r="Z50" i="24"/>
  <c r="AF50" i="24"/>
  <c r="Z51" i="24"/>
  <c r="Y52" i="24"/>
  <c r="AD52" i="24"/>
  <c r="X53" i="24"/>
  <c r="AD53" i="24"/>
  <c r="X54" i="24"/>
  <c r="AC54" i="24"/>
  <c r="AH54" i="24"/>
  <c r="AB55" i="24"/>
  <c r="AE57" i="24"/>
  <c r="Y58" i="24"/>
  <c r="AC60" i="24"/>
  <c r="AG62" i="24"/>
  <c r="AE65" i="24"/>
  <c r="Y66" i="24"/>
  <c r="AG47" i="24"/>
  <c r="AC47" i="24"/>
  <c r="Y47" i="24"/>
  <c r="AG51" i="24"/>
  <c r="AC51" i="24"/>
  <c r="Y51" i="24"/>
  <c r="AG55" i="24"/>
  <c r="AC55" i="24"/>
  <c r="Y55" i="24"/>
  <c r="AF59" i="24"/>
  <c r="AB59" i="24"/>
  <c r="X59" i="24"/>
  <c r="AH59" i="24"/>
  <c r="AD59" i="24"/>
  <c r="Z59" i="24"/>
  <c r="AG59" i="24"/>
  <c r="AC59" i="24"/>
  <c r="Y59" i="24"/>
  <c r="AF63" i="24"/>
  <c r="AB63" i="24"/>
  <c r="X63" i="24"/>
  <c r="AH63" i="24"/>
  <c r="AD63" i="24"/>
  <c r="Z63" i="24"/>
  <c r="AG63" i="24"/>
  <c r="AC63" i="24"/>
  <c r="Y63" i="24"/>
  <c r="AF67" i="24"/>
  <c r="AB67" i="24"/>
  <c r="X67" i="24"/>
  <c r="AH67" i="24"/>
  <c r="AD67" i="24"/>
  <c r="Z67" i="24"/>
  <c r="AG67" i="24"/>
  <c r="AC67" i="24"/>
  <c r="Y67" i="24"/>
  <c r="AF71" i="24"/>
  <c r="AB71" i="24"/>
  <c r="X71" i="24"/>
  <c r="AH71" i="24"/>
  <c r="AD71" i="24"/>
  <c r="Z71" i="24"/>
  <c r="AG71" i="24"/>
  <c r="AC71" i="24"/>
  <c r="Y71" i="24"/>
  <c r="AE71" i="24"/>
  <c r="AA71" i="24"/>
  <c r="AF75" i="24"/>
  <c r="AB75" i="24"/>
  <c r="X75" i="24"/>
  <c r="AH75" i="24"/>
  <c r="AD75" i="24"/>
  <c r="Z75" i="24"/>
  <c r="AG75" i="24"/>
  <c r="AC75" i="24"/>
  <c r="Y75" i="24"/>
  <c r="AA75" i="24"/>
  <c r="AE75" i="24"/>
  <c r="AF79" i="24"/>
  <c r="AB79" i="24"/>
  <c r="X79" i="24"/>
  <c r="AE79" i="24"/>
  <c r="AA79" i="24"/>
  <c r="AH79" i="24"/>
  <c r="AD79" i="24"/>
  <c r="Z79" i="24"/>
  <c r="AG79" i="24"/>
  <c r="AC79" i="24"/>
  <c r="Y79" i="24"/>
  <c r="AF83" i="24"/>
  <c r="AB83" i="24"/>
  <c r="X83" i="24"/>
  <c r="AE83" i="24"/>
  <c r="AA83" i="24"/>
  <c r="AH83" i="24"/>
  <c r="AD83" i="24"/>
  <c r="Z83" i="24"/>
  <c r="AG83" i="24"/>
  <c r="AC83" i="24"/>
  <c r="Y83" i="24"/>
  <c r="X47" i="24"/>
  <c r="AD47" i="24"/>
  <c r="X48" i="24"/>
  <c r="AC48" i="24"/>
  <c r="AB49" i="24"/>
  <c r="AH49" i="24"/>
  <c r="AB50" i="24"/>
  <c r="AG50" i="24"/>
  <c r="AA51" i="24"/>
  <c r="AF51" i="24"/>
  <c r="Z52" i="24"/>
  <c r="Z53" i="24"/>
  <c r="AE53" i="24"/>
  <c r="Y54" i="24"/>
  <c r="AD54" i="24"/>
  <c r="X55" i="24"/>
  <c r="AD55" i="24"/>
  <c r="AC58" i="24"/>
  <c r="AA61" i="24"/>
  <c r="AE63" i="24"/>
  <c r="AC66" i="24"/>
  <c r="AE48" i="24"/>
  <c r="AA48" i="24"/>
  <c r="AE52" i="24"/>
  <c r="AA52" i="24"/>
  <c r="AH56" i="24"/>
  <c r="AD56" i="24"/>
  <c r="Z56" i="24"/>
  <c r="AF56" i="24"/>
  <c r="AB56" i="24"/>
  <c r="X56" i="24"/>
  <c r="AE56" i="24"/>
  <c r="AA56" i="24"/>
  <c r="AH60" i="24"/>
  <c r="AD60" i="24"/>
  <c r="Z60" i="24"/>
  <c r="AF60" i="24"/>
  <c r="AB60" i="24"/>
  <c r="X60" i="24"/>
  <c r="AE60" i="24"/>
  <c r="AA60" i="24"/>
  <c r="AH64" i="24"/>
  <c r="AD64" i="24"/>
  <c r="Z64" i="24"/>
  <c r="AF64" i="24"/>
  <c r="AB64" i="24"/>
  <c r="X64" i="24"/>
  <c r="AE64" i="24"/>
  <c r="AA64" i="24"/>
  <c r="AH68" i="24"/>
  <c r="AD68" i="24"/>
  <c r="Z68" i="24"/>
  <c r="AG68" i="24"/>
  <c r="AC68" i="24"/>
  <c r="AF68" i="24"/>
  <c r="AB68" i="24"/>
  <c r="X68" i="24"/>
  <c r="AE68" i="24"/>
  <c r="AA68" i="24"/>
  <c r="AH72" i="24"/>
  <c r="AD72" i="24"/>
  <c r="Z72" i="24"/>
  <c r="AF72" i="24"/>
  <c r="AB72" i="24"/>
  <c r="X72" i="24"/>
  <c r="AE72" i="24"/>
  <c r="AA72" i="24"/>
  <c r="AC72" i="24"/>
  <c r="Y72" i="24"/>
  <c r="AG72" i="24"/>
  <c r="AH76" i="24"/>
  <c r="AD76" i="24"/>
  <c r="Z76" i="24"/>
  <c r="AF76" i="24"/>
  <c r="AB76" i="24"/>
  <c r="X76" i="24"/>
  <c r="AE76" i="24"/>
  <c r="AA76" i="24"/>
  <c r="AG76" i="24"/>
  <c r="AC76" i="24"/>
  <c r="Y76" i="24"/>
  <c r="AH80" i="24"/>
  <c r="AD80" i="24"/>
  <c r="Z80" i="24"/>
  <c r="AG80" i="24"/>
  <c r="AC80" i="24"/>
  <c r="Y80" i="24"/>
  <c r="AF80" i="24"/>
  <c r="AB80" i="24"/>
  <c r="X80" i="24"/>
  <c r="AE80" i="24"/>
  <c r="AA80" i="24"/>
  <c r="Z47" i="24"/>
  <c r="AE47" i="24"/>
  <c r="Y48" i="24"/>
  <c r="AD48" i="24"/>
  <c r="X49" i="24"/>
  <c r="AD49" i="24"/>
  <c r="X50" i="24"/>
  <c r="AC50" i="24"/>
  <c r="AH50" i="24"/>
  <c r="AB51" i="24"/>
  <c r="AH51" i="24"/>
  <c r="AB52" i="24"/>
  <c r="AG52" i="24"/>
  <c r="AA53" i="24"/>
  <c r="AF53" i="24"/>
  <c r="Z54" i="24"/>
  <c r="AF54" i="24"/>
  <c r="Z55" i="24"/>
  <c r="AE55" i="24"/>
  <c r="AC56" i="24"/>
  <c r="AG58" i="24"/>
  <c r="AA59" i="24"/>
  <c r="AE61" i="24"/>
  <c r="Y62" i="24"/>
  <c r="AC64" i="24"/>
  <c r="AG66" i="24"/>
  <c r="AA67" i="24"/>
  <c r="V8" i="25"/>
  <c r="T8" i="25"/>
  <c r="R8" i="25"/>
  <c r="P8" i="25"/>
  <c r="N8" i="25"/>
  <c r="L8" i="25"/>
  <c r="J8" i="25"/>
  <c r="H8" i="25"/>
  <c r="F8" i="25"/>
  <c r="D8" i="25"/>
  <c r="W8" i="25"/>
  <c r="U8" i="25"/>
  <c r="S8" i="25"/>
  <c r="Q8" i="25"/>
  <c r="O8" i="25"/>
  <c r="M8" i="25"/>
  <c r="K8" i="25"/>
  <c r="I8" i="25"/>
  <c r="G8" i="25"/>
  <c r="E8" i="25"/>
  <c r="C8" i="25"/>
  <c r="B8" i="25"/>
  <c r="B8" i="26"/>
  <c r="D8" i="26"/>
  <c r="F8" i="26"/>
  <c r="H8" i="26"/>
  <c r="J8" i="26"/>
  <c r="L8" i="26"/>
  <c r="C8" i="26"/>
  <c r="E8" i="26"/>
  <c r="G8" i="26"/>
  <c r="I8" i="26"/>
  <c r="K8" i="26"/>
  <c r="Z6" i="21"/>
  <c r="AH6" i="21" s="1"/>
  <c r="AJ5" i="21"/>
  <c r="AJ13" i="21"/>
  <c r="Z5" i="21"/>
  <c r="AH5" i="21" s="1"/>
  <c r="Z13" i="21"/>
  <c r="AH13" i="21" s="1"/>
  <c r="Z3" i="21"/>
  <c r="AH3" i="21" s="1"/>
  <c r="Z4" i="21"/>
  <c r="AH4" i="21" s="1"/>
  <c r="AJ6" i="21"/>
  <c r="Z8" i="21"/>
  <c r="AH8" i="21" s="1"/>
  <c r="U9" i="21"/>
  <c r="AI9" i="21" s="1"/>
  <c r="U10" i="21"/>
  <c r="AI10" i="21" s="1"/>
  <c r="R9" i="21"/>
  <c r="R10" i="21"/>
  <c r="M112" i="21"/>
  <c r="U11" i="21" s="1"/>
  <c r="AI11" i="21" s="1"/>
  <c r="AG8" i="21"/>
  <c r="AF3" i="21"/>
  <c r="AJ3" i="21"/>
  <c r="R12" i="21"/>
  <c r="AG4" i="21"/>
  <c r="X13" i="21"/>
  <c r="AF13" i="21" s="1"/>
  <c r="M159" i="21"/>
  <c r="U12" i="21" s="1"/>
  <c r="AI12" i="21" s="1"/>
  <c r="AT8" i="16"/>
  <c r="AT9" i="16" s="1"/>
  <c r="AJ8" i="16"/>
  <c r="AC36" i="17"/>
  <c r="AC40" i="17"/>
  <c r="AC30" i="17"/>
  <c r="AC35" i="17"/>
  <c r="AC9" i="17"/>
  <c r="AC10" i="17"/>
  <c r="AC16" i="17"/>
  <c r="AC26" i="17"/>
  <c r="AC31" i="17"/>
  <c r="AC32" i="17"/>
  <c r="AC37" i="17"/>
  <c r="AO8" i="16"/>
  <c r="AC29" i="17"/>
  <c r="AI6" i="17" s="1"/>
  <c r="AC34" i="17"/>
  <c r="AC39" i="17"/>
  <c r="AC6" i="17"/>
  <c r="AC22" i="17"/>
  <c r="AC33" i="17"/>
  <c r="AC38" i="17"/>
  <c r="AJ7" i="16"/>
  <c r="M25" i="6"/>
  <c r="M13" i="6"/>
  <c r="AI55" i="6"/>
  <c r="AI60" i="6" s="1"/>
  <c r="D18" i="5"/>
  <c r="AB56" i="6" s="1"/>
  <c r="D28" i="5"/>
  <c r="AL56" i="6" s="1"/>
  <c r="AA44" i="13"/>
  <c r="AA44" i="12"/>
  <c r="AA44" i="11"/>
  <c r="AA44" i="10"/>
  <c r="AA56" i="9"/>
  <c r="AA56" i="8"/>
  <c r="AA58" i="6"/>
  <c r="AA56" i="7"/>
  <c r="AH55" i="9"/>
  <c r="AH55" i="8"/>
  <c r="AH55" i="7"/>
  <c r="AH57" i="6"/>
  <c r="AI56" i="9"/>
  <c r="AI56" i="8"/>
  <c r="AI58" i="6"/>
  <c r="AI56" i="7"/>
  <c r="Z44" i="13"/>
  <c r="Z44" i="12"/>
  <c r="Z48" i="12" s="1"/>
  <c r="Z44" i="11"/>
  <c r="Z48" i="11" s="1"/>
  <c r="Z44" i="10"/>
  <c r="Z47" i="10" s="1"/>
  <c r="Z47" i="12" s="1"/>
  <c r="AD55" i="9"/>
  <c r="AD55" i="8"/>
  <c r="AD55" i="7"/>
  <c r="AD57" i="6"/>
  <c r="W45" i="13"/>
  <c r="W45" i="12"/>
  <c r="W45" i="11"/>
  <c r="W45" i="10"/>
  <c r="AB55" i="9"/>
  <c r="AB55" i="8"/>
  <c r="AB57" i="6"/>
  <c r="AB55" i="7"/>
  <c r="AD56" i="9"/>
  <c r="AD56" i="8"/>
  <c r="AD56" i="7"/>
  <c r="AD58" i="6"/>
  <c r="E28" i="5"/>
  <c r="W46" i="12"/>
  <c r="W46" i="13"/>
  <c r="W46" i="10"/>
  <c r="W46" i="11"/>
  <c r="AA45" i="13"/>
  <c r="AA45" i="12"/>
  <c r="AA45" i="11"/>
  <c r="AA45" i="10"/>
  <c r="U56" i="9"/>
  <c r="U56" i="8"/>
  <c r="U58" i="6"/>
  <c r="U56" i="7"/>
  <c r="U46" i="13"/>
  <c r="U46" i="12"/>
  <c r="U46" i="11"/>
  <c r="U46" i="10"/>
  <c r="AH56" i="9"/>
  <c r="AH56" i="8"/>
  <c r="AH56" i="7"/>
  <c r="AH58" i="6"/>
  <c r="AJ54" i="9"/>
  <c r="AJ54" i="8"/>
  <c r="AJ58" i="8" s="1"/>
  <c r="AJ54" i="7"/>
  <c r="Z45" i="13"/>
  <c r="Z45" i="12"/>
  <c r="Z45" i="11"/>
  <c r="Z45" i="10"/>
  <c r="AL56" i="9"/>
  <c r="AL56" i="8"/>
  <c r="AL56" i="7"/>
  <c r="AL58" i="6"/>
  <c r="W54" i="8"/>
  <c r="W58" i="8" s="1"/>
  <c r="W54" i="9"/>
  <c r="W54" i="7"/>
  <c r="AB56" i="9"/>
  <c r="AB56" i="8"/>
  <c r="AB56" i="7"/>
  <c r="AB58" i="6"/>
  <c r="AG54" i="8"/>
  <c r="AG54" i="9"/>
  <c r="AG54" i="7"/>
  <c r="Y44" i="13"/>
  <c r="Y44" i="12"/>
  <c r="Y44" i="10"/>
  <c r="Y44" i="11"/>
  <c r="AA46" i="13"/>
  <c r="AA46" i="12"/>
  <c r="AA46" i="10"/>
  <c r="AA46" i="11"/>
  <c r="V56" i="9"/>
  <c r="V56" i="8"/>
  <c r="V56" i="7"/>
  <c r="V58" i="6"/>
  <c r="AI54" i="8"/>
  <c r="AI58" i="8" s="1"/>
  <c r="AI54" i="9"/>
  <c r="AI54" i="7"/>
  <c r="AJ55" i="9"/>
  <c r="AJ55" i="8"/>
  <c r="AJ55" i="7"/>
  <c r="AJ57" i="6"/>
  <c r="Z46" i="13"/>
  <c r="Z46" i="12"/>
  <c r="Z46" i="11"/>
  <c r="Z46" i="10"/>
  <c r="AD54" i="9"/>
  <c r="AD54" i="8"/>
  <c r="AD54" i="7"/>
  <c r="AG56" i="9"/>
  <c r="AG56" i="8"/>
  <c r="AG56" i="7"/>
  <c r="AG58" i="6"/>
  <c r="W44" i="13"/>
  <c r="W44" i="12"/>
  <c r="W44" i="11"/>
  <c r="W44" i="10"/>
  <c r="Y46" i="13"/>
  <c r="Y46" i="12"/>
  <c r="Y46" i="11"/>
  <c r="Y46" i="10"/>
  <c r="R44" i="13"/>
  <c r="R44" i="12"/>
  <c r="R44" i="11"/>
  <c r="R44" i="10"/>
  <c r="Z56" i="9"/>
  <c r="Z56" i="8"/>
  <c r="Z56" i="7"/>
  <c r="Z58" i="6"/>
  <c r="AH54" i="9"/>
  <c r="AH54" i="8"/>
  <c r="AH54" i="7"/>
  <c r="AI55" i="9"/>
  <c r="AI55" i="8"/>
  <c r="AI57" i="6"/>
  <c r="AI55" i="7"/>
  <c r="AJ56" i="9"/>
  <c r="AJ56" i="8"/>
  <c r="L54" i="9"/>
  <c r="L54" i="8"/>
  <c r="L58" i="8" s="1"/>
  <c r="L54" i="7"/>
  <c r="Q54" i="8"/>
  <c r="Q58" i="8" s="1"/>
  <c r="Q54" i="9"/>
  <c r="Q54" i="7"/>
  <c r="P54" i="9"/>
  <c r="P54" i="8"/>
  <c r="P58" i="8" s="1"/>
  <c r="P54" i="7"/>
  <c r="U54" i="8"/>
  <c r="U58" i="8" s="1"/>
  <c r="U54" i="9"/>
  <c r="U54" i="7"/>
  <c r="X54" i="9"/>
  <c r="X54" i="8"/>
  <c r="X58" i="8" s="1"/>
  <c r="X54" i="7"/>
  <c r="AC54" i="8"/>
  <c r="AC58" i="8" s="1"/>
  <c r="AC54" i="9"/>
  <c r="AC54" i="7"/>
  <c r="AF54" i="9"/>
  <c r="AF54" i="8"/>
  <c r="AF54" i="7"/>
  <c r="Z54" i="9"/>
  <c r="Z54" i="8"/>
  <c r="Z58" i="8" s="1"/>
  <c r="Z47" i="9" s="1"/>
  <c r="Z54" i="7"/>
  <c r="AJ56" i="7"/>
  <c r="O54" i="8"/>
  <c r="O58" i="8" s="1"/>
  <c r="O54" i="9"/>
  <c r="O54" i="7"/>
  <c r="S54" i="8"/>
  <c r="S54" i="9"/>
  <c r="S54" i="7"/>
  <c r="AJ58" i="6"/>
  <c r="AA54" i="8"/>
  <c r="AA58" i="8" s="1"/>
  <c r="AA54" i="9"/>
  <c r="AA54" i="7"/>
  <c r="M54" i="8"/>
  <c r="M58" i="8" s="1"/>
  <c r="M54" i="9"/>
  <c r="M54" i="7"/>
  <c r="R54" i="9"/>
  <c r="R54" i="8"/>
  <c r="R58" i="8" s="1"/>
  <c r="R54" i="7"/>
  <c r="AE54" i="8"/>
  <c r="AE54" i="9"/>
  <c r="AE54" i="7"/>
  <c r="AK54" i="8"/>
  <c r="AK58" i="8" s="1"/>
  <c r="AK54" i="9"/>
  <c r="AK54" i="7"/>
  <c r="U47" i="10"/>
  <c r="U47" i="12" s="1"/>
  <c r="Y43" i="11"/>
  <c r="X43" i="11"/>
  <c r="O47" i="10"/>
  <c r="O47" i="11" s="1"/>
  <c r="X47" i="10"/>
  <c r="L43" i="10"/>
  <c r="N43" i="10"/>
  <c r="P43" i="10"/>
  <c r="S43" i="10"/>
  <c r="T43" i="10"/>
  <c r="V43" i="10"/>
  <c r="Y43" i="10"/>
  <c r="Z43" i="10"/>
  <c r="M47" i="10"/>
  <c r="M47" i="11" s="1"/>
  <c r="N47" i="10"/>
  <c r="P47" i="10"/>
  <c r="P47" i="12" s="1"/>
  <c r="T47" i="10"/>
  <c r="T47" i="11" s="1"/>
  <c r="V47" i="10"/>
  <c r="V47" i="11" s="1"/>
  <c r="M43" i="10"/>
  <c r="O43" i="10"/>
  <c r="Q43" i="10"/>
  <c r="R43" i="10"/>
  <c r="U43" i="10"/>
  <c r="W43" i="10"/>
  <c r="X43" i="10"/>
  <c r="X48" i="10" s="1"/>
  <c r="AA43" i="10"/>
  <c r="Z45" i="9"/>
  <c r="Z40" i="9"/>
  <c r="Z42" i="9"/>
  <c r="Z26" i="9"/>
  <c r="Z27" i="9"/>
  <c r="Z21" i="9"/>
  <c r="Z9" i="9"/>
  <c r="Z12" i="9"/>
  <c r="Z6" i="9"/>
  <c r="AA51" i="9"/>
  <c r="AA49" i="9"/>
  <c r="AA50" i="9"/>
  <c r="AA48" i="9"/>
  <c r="AA44" i="9"/>
  <c r="AA47" i="9"/>
  <c r="AA42" i="9"/>
  <c r="AA45" i="9"/>
  <c r="AA41" i="9"/>
  <c r="AA39" i="9"/>
  <c r="AA37" i="9"/>
  <c r="AA43" i="9"/>
  <c r="AA36" i="9"/>
  <c r="AA46" i="9"/>
  <c r="AA38" i="9"/>
  <c r="AA31" i="9"/>
  <c r="AA34" i="9"/>
  <c r="AA29" i="9"/>
  <c r="AA27" i="9"/>
  <c r="AA25" i="9"/>
  <c r="AA23" i="9"/>
  <c r="AA35" i="9"/>
  <c r="AA32" i="9"/>
  <c r="AA40" i="9"/>
  <c r="AA33" i="9"/>
  <c r="AA30" i="9"/>
  <c r="AA28" i="9"/>
  <c r="AA26" i="9"/>
  <c r="AA24" i="9"/>
  <c r="AA22" i="9"/>
  <c r="AA20" i="9"/>
  <c r="AA18" i="9"/>
  <c r="AA16" i="9"/>
  <c r="AA19" i="9"/>
  <c r="AA14" i="9"/>
  <c r="AA21" i="9"/>
  <c r="AA17" i="9"/>
  <c r="AA15" i="9"/>
  <c r="AA13" i="9"/>
  <c r="AA11" i="9"/>
  <c r="AA9" i="9"/>
  <c r="AA7" i="9"/>
  <c r="AA5" i="9"/>
  <c r="AA8" i="9"/>
  <c r="AA6" i="9"/>
  <c r="AA10" i="9"/>
  <c r="AA12" i="9"/>
  <c r="AG53" i="7"/>
  <c r="M63" i="6"/>
  <c r="M68" i="6"/>
  <c r="AM57" i="7"/>
  <c r="AF53" i="7"/>
  <c r="AE53" i="7"/>
  <c r="AA53" i="7"/>
  <c r="AA58" i="7" s="1"/>
  <c r="Z53" i="7"/>
  <c r="Z58" i="7" s="1"/>
  <c r="M66" i="6"/>
  <c r="M8" i="6"/>
  <c r="M14" i="6"/>
  <c r="M18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R55" i="6"/>
  <c r="R60" i="6" s="1"/>
  <c r="Y55" i="6"/>
  <c r="Z55" i="6"/>
  <c r="M11" i="6"/>
  <c r="M19" i="6"/>
  <c r="M22" i="6"/>
  <c r="M24" i="6"/>
  <c r="O55" i="6"/>
  <c r="O60" i="6" s="1"/>
  <c r="S55" i="6"/>
  <c r="S60" i="6" s="1"/>
  <c r="U55" i="6"/>
  <c r="U60" i="6" s="1"/>
  <c r="AC55" i="6"/>
  <c r="AC60" i="6" s="1"/>
  <c r="AE55" i="6"/>
  <c r="AE60" i="6" s="1"/>
  <c r="M12" i="6"/>
  <c r="M20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L55" i="6"/>
  <c r="L60" i="6" s="1"/>
  <c r="P55" i="6"/>
  <c r="P60" i="6" s="1"/>
  <c r="V55" i="6"/>
  <c r="W55" i="6"/>
  <c r="W60" i="6" s="1"/>
  <c r="AF55" i="6"/>
  <c r="AF60" i="6" s="1"/>
  <c r="AH55" i="6"/>
  <c r="AH60" i="6" s="1"/>
  <c r="M7" i="6"/>
  <c r="M17" i="6"/>
  <c r="M21" i="6"/>
  <c r="M23" i="6"/>
  <c r="Q55" i="6"/>
  <c r="Q60" i="6" s="1"/>
  <c r="X55" i="6"/>
  <c r="X60" i="6" s="1"/>
  <c r="AA55" i="6"/>
  <c r="D37" i="5"/>
  <c r="X11" i="21" l="1"/>
  <c r="AF11" i="21" s="1"/>
  <c r="AB43" i="10"/>
  <c r="M67" i="6"/>
  <c r="M64" i="6" s="1"/>
  <c r="M70" i="6" s="1"/>
  <c r="L6" i="26"/>
  <c r="Z22" i="9"/>
  <c r="Z30" i="9"/>
  <c r="Z51" i="9"/>
  <c r="U48" i="10"/>
  <c r="U14" i="11" s="1"/>
  <c r="X9" i="21"/>
  <c r="AF9" i="21" s="1"/>
  <c r="Z14" i="9"/>
  <c r="Z35" i="9"/>
  <c r="Z29" i="9"/>
  <c r="Z32" i="9"/>
  <c r="Z44" i="9"/>
  <c r="R48" i="10"/>
  <c r="R6" i="11" s="1"/>
  <c r="Z18" i="9"/>
  <c r="Z24" i="9"/>
  <c r="Z19" i="9"/>
  <c r="Z31" i="9"/>
  <c r="Z41" i="9"/>
  <c r="Z43" i="9"/>
  <c r="AH58" i="8"/>
  <c r="D4" i="5"/>
  <c r="F30" i="5" s="1"/>
  <c r="Z7" i="9"/>
  <c r="Z10" i="9"/>
  <c r="Z20" i="9"/>
  <c r="Z13" i="9"/>
  <c r="Z17" i="9"/>
  <c r="Z25" i="9"/>
  <c r="Z50" i="9"/>
  <c r="Z33" i="9"/>
  <c r="Z37" i="9"/>
  <c r="Z38" i="9"/>
  <c r="Z48" i="9"/>
  <c r="Z49" i="9"/>
  <c r="U47" i="11"/>
  <c r="Z5" i="9"/>
  <c r="Z8" i="9"/>
  <c r="Z16" i="9"/>
  <c r="Z11" i="9"/>
  <c r="Z15" i="9"/>
  <c r="Z23" i="9"/>
  <c r="Z39" i="9"/>
  <c r="Z28" i="9"/>
  <c r="Z34" i="9"/>
  <c r="Z36" i="9"/>
  <c r="Z46" i="9"/>
  <c r="AA53" i="9"/>
  <c r="M48" i="10"/>
  <c r="M14" i="11" s="1"/>
  <c r="X8" i="25"/>
  <c r="D10" i="26"/>
  <c r="D6" i="26"/>
  <c r="C10" i="26"/>
  <c r="C6" i="26"/>
  <c r="R10" i="25"/>
  <c r="R6" i="25"/>
  <c r="O10" i="25"/>
  <c r="O6" i="25"/>
  <c r="N10" i="25"/>
  <c r="N6" i="25"/>
  <c r="D10" i="25"/>
  <c r="D6" i="25"/>
  <c r="T10" i="25"/>
  <c r="T6" i="25"/>
  <c r="I10" i="25"/>
  <c r="I6" i="25"/>
  <c r="M8" i="26"/>
  <c r="G10" i="26"/>
  <c r="G6" i="26"/>
  <c r="F10" i="26"/>
  <c r="F6" i="26"/>
  <c r="J10" i="26"/>
  <c r="J6" i="26"/>
  <c r="S10" i="25"/>
  <c r="S6" i="25"/>
  <c r="J10" i="25"/>
  <c r="J6" i="25"/>
  <c r="G10" i="25"/>
  <c r="G6" i="25"/>
  <c r="F10" i="25"/>
  <c r="F6" i="25"/>
  <c r="H10" i="25"/>
  <c r="H6" i="25"/>
  <c r="M10" i="25"/>
  <c r="M6" i="25"/>
  <c r="H10" i="26"/>
  <c r="H6" i="26"/>
  <c r="K10" i="26"/>
  <c r="K6" i="26"/>
  <c r="E10" i="26"/>
  <c r="E6" i="26"/>
  <c r="K10" i="25"/>
  <c r="K6" i="25"/>
  <c r="B10" i="25"/>
  <c r="B6" i="25"/>
  <c r="L10" i="25"/>
  <c r="L6" i="25"/>
  <c r="Q10" i="25"/>
  <c r="Q6" i="25"/>
  <c r="I10" i="26"/>
  <c r="I6" i="26"/>
  <c r="B10" i="26"/>
  <c r="B6" i="26"/>
  <c r="C10" i="25"/>
  <c r="C6" i="25"/>
  <c r="W10" i="25"/>
  <c r="W6" i="25"/>
  <c r="V10" i="25"/>
  <c r="V6" i="25"/>
  <c r="P10" i="25"/>
  <c r="P6" i="25"/>
  <c r="E10" i="25"/>
  <c r="E6" i="25"/>
  <c r="U10" i="25"/>
  <c r="U6" i="25"/>
  <c r="X12" i="21"/>
  <c r="AF12" i="21" s="1"/>
  <c r="X10" i="21"/>
  <c r="AF10" i="21" s="1"/>
  <c r="AO9" i="16"/>
  <c r="AJ9" i="16"/>
  <c r="AI24" i="7"/>
  <c r="AI43" i="7"/>
  <c r="AI48" i="7"/>
  <c r="AI45" i="7"/>
  <c r="AI47" i="7"/>
  <c r="AI32" i="7"/>
  <c r="AI49" i="7"/>
  <c r="AI46" i="7"/>
  <c r="AI31" i="7"/>
  <c r="AI44" i="7"/>
  <c r="AI33" i="7"/>
  <c r="AI22" i="7"/>
  <c r="AI42" i="7"/>
  <c r="AI27" i="7"/>
  <c r="AI40" i="7"/>
  <c r="E37" i="5"/>
  <c r="R45" i="13"/>
  <c r="R45" i="12"/>
  <c r="R45" i="11"/>
  <c r="R45" i="10"/>
  <c r="S44" i="13"/>
  <c r="S44" i="12"/>
  <c r="S44" i="11"/>
  <c r="S44" i="10"/>
  <c r="L27" i="7"/>
  <c r="L29" i="7"/>
  <c r="L21" i="7"/>
  <c r="L15" i="7"/>
  <c r="L26" i="7"/>
  <c r="L22" i="7"/>
  <c r="L16" i="7"/>
  <c r="L8" i="7"/>
  <c r="L23" i="7"/>
  <c r="L13" i="7"/>
  <c r="L9" i="7"/>
  <c r="L5" i="7"/>
  <c r="L28" i="7"/>
  <c r="L24" i="7"/>
  <c r="L14" i="7"/>
  <c r="L10" i="7"/>
  <c r="L6" i="7"/>
  <c r="L11" i="7"/>
  <c r="L32" i="7"/>
  <c r="L37" i="7"/>
  <c r="L30" i="7"/>
  <c r="L40" i="7"/>
  <c r="L42" i="7"/>
  <c r="L51" i="7"/>
  <c r="L19" i="7"/>
  <c r="L17" i="7"/>
  <c r="L41" i="7"/>
  <c r="L44" i="7"/>
  <c r="L46" i="7"/>
  <c r="L31" i="7"/>
  <c r="L35" i="7"/>
  <c r="L12" i="7"/>
  <c r="L25" i="7"/>
  <c r="L45" i="7"/>
  <c r="L7" i="7"/>
  <c r="L48" i="7"/>
  <c r="L34" i="7"/>
  <c r="L50" i="7"/>
  <c r="L43" i="7"/>
  <c r="L39" i="7"/>
  <c r="L20" i="7"/>
  <c r="L33" i="7"/>
  <c r="L49" i="7"/>
  <c r="L18" i="7"/>
  <c r="L36" i="7"/>
  <c r="L38" i="7"/>
  <c r="L47" i="7"/>
  <c r="O18" i="7"/>
  <c r="O13" i="7"/>
  <c r="O9" i="7"/>
  <c r="O5" i="7"/>
  <c r="O19" i="7"/>
  <c r="O14" i="7"/>
  <c r="O10" i="7"/>
  <c r="O6" i="7"/>
  <c r="O25" i="7"/>
  <c r="O20" i="7"/>
  <c r="O15" i="7"/>
  <c r="O11" i="7"/>
  <c r="O7" i="7"/>
  <c r="O17" i="7"/>
  <c r="O16" i="7"/>
  <c r="O12" i="7"/>
  <c r="O8" i="7"/>
  <c r="O24" i="7"/>
  <c r="O34" i="7"/>
  <c r="O22" i="7"/>
  <c r="O42" i="7"/>
  <c r="O39" i="7"/>
  <c r="O36" i="7"/>
  <c r="O49" i="7"/>
  <c r="O37" i="7"/>
  <c r="O21" i="7"/>
  <c r="O23" i="7"/>
  <c r="O46" i="7"/>
  <c r="O27" i="7"/>
  <c r="O43" i="7"/>
  <c r="O40" i="7"/>
  <c r="O29" i="7"/>
  <c r="O41" i="7"/>
  <c r="O26" i="7"/>
  <c r="O28" i="7"/>
  <c r="O50" i="7"/>
  <c r="O31" i="7"/>
  <c r="O47" i="7"/>
  <c r="O48" i="7"/>
  <c r="O33" i="7"/>
  <c r="O30" i="7"/>
  <c r="O44" i="7"/>
  <c r="O38" i="7"/>
  <c r="O35" i="7"/>
  <c r="O51" i="7"/>
  <c r="O32" i="7"/>
  <c r="O45" i="7"/>
  <c r="AA51" i="8"/>
  <c r="Z51" i="23" s="1"/>
  <c r="Z103" i="23" s="1"/>
  <c r="AA49" i="8"/>
  <c r="Z49" i="23" s="1"/>
  <c r="Z101" i="23" s="1"/>
  <c r="AA47" i="8"/>
  <c r="Z47" i="23" s="1"/>
  <c r="Z99" i="23" s="1"/>
  <c r="AA50" i="8"/>
  <c r="Z50" i="23" s="1"/>
  <c r="Z102" i="23" s="1"/>
  <c r="AA43" i="8"/>
  <c r="Z43" i="23" s="1"/>
  <c r="Z95" i="23" s="1"/>
  <c r="AA40" i="8"/>
  <c r="Z40" i="23" s="1"/>
  <c r="Z92" i="23" s="1"/>
  <c r="AA35" i="8"/>
  <c r="Z35" i="23" s="1"/>
  <c r="Z87" i="23" s="1"/>
  <c r="AA31" i="8"/>
  <c r="Z31" i="23" s="1"/>
  <c r="Z83" i="23" s="1"/>
  <c r="AA28" i="8"/>
  <c r="Z28" i="23" s="1"/>
  <c r="Z80" i="23" s="1"/>
  <c r="AA23" i="8"/>
  <c r="Z23" i="23" s="1"/>
  <c r="Z75" i="23" s="1"/>
  <c r="AA45" i="8"/>
  <c r="Z45" i="23" s="1"/>
  <c r="Z97" i="23" s="1"/>
  <c r="AA42" i="8"/>
  <c r="Z42" i="23" s="1"/>
  <c r="Z94" i="23" s="1"/>
  <c r="AA37" i="8"/>
  <c r="Z37" i="23" s="1"/>
  <c r="Z89" i="23" s="1"/>
  <c r="AA34" i="8"/>
  <c r="Z34" i="23" s="1"/>
  <c r="Z86" i="23" s="1"/>
  <c r="AA30" i="8"/>
  <c r="Z30" i="23" s="1"/>
  <c r="Z82" i="23" s="1"/>
  <c r="AA25" i="8"/>
  <c r="Z25" i="23" s="1"/>
  <c r="Z77" i="23" s="1"/>
  <c r="AA22" i="8"/>
  <c r="Z22" i="23" s="1"/>
  <c r="Z74" i="23" s="1"/>
  <c r="AA44" i="8"/>
  <c r="Z44" i="23" s="1"/>
  <c r="Z96" i="23" s="1"/>
  <c r="AA39" i="8"/>
  <c r="Z39" i="23" s="1"/>
  <c r="Z91" i="23" s="1"/>
  <c r="AA36" i="8"/>
  <c r="Z36" i="23" s="1"/>
  <c r="Z88" i="23" s="1"/>
  <c r="AA33" i="8"/>
  <c r="Z33" i="23" s="1"/>
  <c r="Z85" i="23" s="1"/>
  <c r="AA27" i="8"/>
  <c r="Z27" i="23" s="1"/>
  <c r="Z79" i="23" s="1"/>
  <c r="AA24" i="8"/>
  <c r="Z24" i="23" s="1"/>
  <c r="Z76" i="23" s="1"/>
  <c r="AA48" i="8"/>
  <c r="Z48" i="23" s="1"/>
  <c r="Z100" i="23" s="1"/>
  <c r="AA46" i="8"/>
  <c r="Z46" i="23" s="1"/>
  <c r="Z98" i="23" s="1"/>
  <c r="AA41" i="8"/>
  <c r="Z41" i="23" s="1"/>
  <c r="Z93" i="23" s="1"/>
  <c r="AA38" i="8"/>
  <c r="Z38" i="23" s="1"/>
  <c r="Z90" i="23" s="1"/>
  <c r="AA32" i="8"/>
  <c r="Z32" i="23" s="1"/>
  <c r="Z84" i="23" s="1"/>
  <c r="AA29" i="8"/>
  <c r="Z29" i="23" s="1"/>
  <c r="Z81" i="23" s="1"/>
  <c r="AA26" i="8"/>
  <c r="Z26" i="23" s="1"/>
  <c r="Z78" i="23" s="1"/>
  <c r="AA21" i="8"/>
  <c r="Z21" i="23" s="1"/>
  <c r="Z73" i="23" s="1"/>
  <c r="AA18" i="8"/>
  <c r="Z18" i="23" s="1"/>
  <c r="Z70" i="23" s="1"/>
  <c r="AA16" i="8"/>
  <c r="Z16" i="23" s="1"/>
  <c r="Z68" i="23" s="1"/>
  <c r="AA14" i="8"/>
  <c r="Z14" i="23" s="1"/>
  <c r="Z66" i="23" s="1"/>
  <c r="AA12" i="8"/>
  <c r="Z12" i="23" s="1"/>
  <c r="Z64" i="23" s="1"/>
  <c r="AA10" i="8"/>
  <c r="Z10" i="23" s="1"/>
  <c r="Z62" i="23" s="1"/>
  <c r="AA8" i="8"/>
  <c r="Z8" i="23" s="1"/>
  <c r="Z60" i="23" s="1"/>
  <c r="AA6" i="8"/>
  <c r="Z6" i="23" s="1"/>
  <c r="Z58" i="23" s="1"/>
  <c r="AA20" i="8"/>
  <c r="Z20" i="23" s="1"/>
  <c r="Z72" i="23" s="1"/>
  <c r="AA17" i="8"/>
  <c r="Z17" i="23" s="1"/>
  <c r="Z69" i="23" s="1"/>
  <c r="AA9" i="8"/>
  <c r="Z9" i="23" s="1"/>
  <c r="Z61" i="23" s="1"/>
  <c r="AA11" i="8"/>
  <c r="Z11" i="23" s="1"/>
  <c r="Z63" i="23" s="1"/>
  <c r="AA19" i="8"/>
  <c r="Z19" i="23" s="1"/>
  <c r="Z71" i="23" s="1"/>
  <c r="AA13" i="8"/>
  <c r="Z13" i="23" s="1"/>
  <c r="Z65" i="23" s="1"/>
  <c r="AA5" i="8"/>
  <c r="Z5" i="23" s="1"/>
  <c r="Z57" i="23" s="1"/>
  <c r="AA15" i="8"/>
  <c r="Z15" i="23" s="1"/>
  <c r="Z67" i="23" s="1"/>
  <c r="AA7" i="8"/>
  <c r="Z7" i="23" s="1"/>
  <c r="Z59" i="23" s="1"/>
  <c r="R7" i="11"/>
  <c r="R15" i="11"/>
  <c r="R28" i="11"/>
  <c r="R31" i="11"/>
  <c r="R32" i="11"/>
  <c r="R16" i="11"/>
  <c r="R29" i="11"/>
  <c r="R20" i="11"/>
  <c r="R22" i="11"/>
  <c r="N47" i="11"/>
  <c r="N47" i="12"/>
  <c r="P26" i="7"/>
  <c r="P28" i="7"/>
  <c r="P24" i="7"/>
  <c r="P19" i="7"/>
  <c r="P14" i="7"/>
  <c r="P10" i="7"/>
  <c r="P6" i="7"/>
  <c r="P27" i="7"/>
  <c r="P25" i="7"/>
  <c r="P21" i="7"/>
  <c r="P20" i="7"/>
  <c r="P15" i="7"/>
  <c r="P11" i="7"/>
  <c r="P7" i="7"/>
  <c r="P22" i="7"/>
  <c r="P17" i="7"/>
  <c r="P16" i="7"/>
  <c r="P12" i="7"/>
  <c r="P8" i="7"/>
  <c r="P29" i="7"/>
  <c r="P23" i="7"/>
  <c r="P18" i="7"/>
  <c r="P13" i="7"/>
  <c r="P9" i="7"/>
  <c r="P5" i="7"/>
  <c r="P38" i="7"/>
  <c r="P36" i="7"/>
  <c r="P33" i="7"/>
  <c r="P49" i="7"/>
  <c r="P34" i="7"/>
  <c r="P47" i="7"/>
  <c r="P42" i="7"/>
  <c r="P40" i="7"/>
  <c r="P37" i="7"/>
  <c r="P46" i="7"/>
  <c r="P35" i="7"/>
  <c r="P51" i="7"/>
  <c r="P44" i="7"/>
  <c r="P41" i="7"/>
  <c r="P50" i="7"/>
  <c r="P39" i="7"/>
  <c r="P31" i="7"/>
  <c r="P32" i="7"/>
  <c r="P48" i="7"/>
  <c r="P45" i="7"/>
  <c r="P30" i="7"/>
  <c r="P43" i="7"/>
  <c r="F37" i="5"/>
  <c r="R46" i="13"/>
  <c r="R46" i="12"/>
  <c r="R46" i="11"/>
  <c r="R46" i="10"/>
  <c r="X49" i="7"/>
  <c r="X50" i="7"/>
  <c r="X48" i="7"/>
  <c r="X45" i="7"/>
  <c r="X39" i="7"/>
  <c r="X35" i="7"/>
  <c r="X32" i="7"/>
  <c r="X46" i="7"/>
  <c r="X43" i="7"/>
  <c r="X40" i="7"/>
  <c r="X36" i="7"/>
  <c r="X33" i="7"/>
  <c r="X29" i="7"/>
  <c r="X51" i="7"/>
  <c r="X47" i="7"/>
  <c r="X42" i="7"/>
  <c r="X38" i="7"/>
  <c r="X31" i="7"/>
  <c r="X27" i="7"/>
  <c r="X44" i="7"/>
  <c r="X26" i="7"/>
  <c r="X25" i="7"/>
  <c r="X23" i="7"/>
  <c r="X18" i="7"/>
  <c r="X13" i="7"/>
  <c r="X9" i="7"/>
  <c r="X5" i="7"/>
  <c r="X41" i="7"/>
  <c r="X37" i="7"/>
  <c r="X34" i="7"/>
  <c r="X30" i="7"/>
  <c r="X24" i="7"/>
  <c r="X19" i="7"/>
  <c r="X14" i="7"/>
  <c r="X10" i="7"/>
  <c r="X6" i="7"/>
  <c r="X28" i="7"/>
  <c r="X21" i="7"/>
  <c r="X20" i="7"/>
  <c r="X15" i="7"/>
  <c r="X11" i="7"/>
  <c r="X7" i="7"/>
  <c r="X22" i="7"/>
  <c r="X17" i="7"/>
  <c r="X16" i="7"/>
  <c r="X12" i="7"/>
  <c r="X8" i="7"/>
  <c r="W51" i="7"/>
  <c r="W47" i="7"/>
  <c r="W42" i="7"/>
  <c r="W38" i="7"/>
  <c r="W31" i="7"/>
  <c r="W50" i="7"/>
  <c r="W48" i="7"/>
  <c r="W45" i="7"/>
  <c r="W39" i="7"/>
  <c r="W35" i="7"/>
  <c r="W32" i="7"/>
  <c r="W28" i="7"/>
  <c r="W46" i="7"/>
  <c r="W49" i="7"/>
  <c r="W44" i="7"/>
  <c r="W41" i="7"/>
  <c r="W37" i="7"/>
  <c r="W34" i="7"/>
  <c r="W30" i="7"/>
  <c r="W26" i="7"/>
  <c r="W40" i="7"/>
  <c r="W36" i="7"/>
  <c r="W33" i="7"/>
  <c r="W29" i="7"/>
  <c r="W22" i="7"/>
  <c r="W17" i="7"/>
  <c r="W16" i="7"/>
  <c r="W12" i="7"/>
  <c r="W8" i="7"/>
  <c r="W25" i="7"/>
  <c r="W23" i="7"/>
  <c r="W18" i="7"/>
  <c r="W13" i="7"/>
  <c r="W9" i="7"/>
  <c r="W5" i="7"/>
  <c r="W27" i="7"/>
  <c r="W24" i="7"/>
  <c r="W19" i="7"/>
  <c r="W14" i="7"/>
  <c r="W10" i="7"/>
  <c r="W6" i="7"/>
  <c r="W43" i="7"/>
  <c r="W21" i="7"/>
  <c r="W20" i="7"/>
  <c r="W15" i="7"/>
  <c r="W11" i="7"/>
  <c r="W7" i="7"/>
  <c r="AC25" i="7"/>
  <c r="AC18" i="7"/>
  <c r="AC13" i="7"/>
  <c r="AC9" i="7"/>
  <c r="AC5" i="7"/>
  <c r="AC20" i="7"/>
  <c r="AC19" i="7"/>
  <c r="AC14" i="7"/>
  <c r="AC10" i="7"/>
  <c r="AC6" i="7"/>
  <c r="AC16" i="7"/>
  <c r="AC15" i="7"/>
  <c r="AC11" i="7"/>
  <c r="AC7" i="7"/>
  <c r="AC17" i="7"/>
  <c r="AC12" i="7"/>
  <c r="AC8" i="7"/>
  <c r="AC24" i="7"/>
  <c r="AC26" i="7"/>
  <c r="AC28" i="7"/>
  <c r="AC46" i="7"/>
  <c r="AC39" i="7"/>
  <c r="AC40" i="7"/>
  <c r="AC45" i="7"/>
  <c r="AC37" i="7"/>
  <c r="AC30" i="7"/>
  <c r="AC22" i="7"/>
  <c r="AC50" i="7"/>
  <c r="AC27" i="7"/>
  <c r="AC43" i="7"/>
  <c r="AC44" i="7"/>
  <c r="AC49" i="7"/>
  <c r="AC41" i="7"/>
  <c r="AC34" i="7"/>
  <c r="AC38" i="7"/>
  <c r="AC31" i="7"/>
  <c r="AC47" i="7"/>
  <c r="AC32" i="7"/>
  <c r="AC48" i="7"/>
  <c r="AC29" i="7"/>
  <c r="AC21" i="7"/>
  <c r="AC23" i="7"/>
  <c r="AC42" i="7"/>
  <c r="AC35" i="7"/>
  <c r="AC51" i="7"/>
  <c r="AC36" i="7"/>
  <c r="AC33" i="7"/>
  <c r="Q27" i="7"/>
  <c r="Q29" i="7"/>
  <c r="Q21" i="7"/>
  <c r="Q15" i="7"/>
  <c r="Q28" i="7"/>
  <c r="Q22" i="7"/>
  <c r="Q16" i="7"/>
  <c r="Q8" i="7"/>
  <c r="Q23" i="7"/>
  <c r="Q13" i="7"/>
  <c r="Q9" i="7"/>
  <c r="Q5" i="7"/>
  <c r="Q26" i="7"/>
  <c r="Q24" i="7"/>
  <c r="Q14" i="7"/>
  <c r="Q10" i="7"/>
  <c r="Q6" i="7"/>
  <c r="Q17" i="7"/>
  <c r="Q39" i="7"/>
  <c r="Q32" i="7"/>
  <c r="Q34" i="7"/>
  <c r="Q50" i="7"/>
  <c r="Q51" i="7"/>
  <c r="Q40" i="7"/>
  <c r="Q37" i="7"/>
  <c r="Q7" i="7"/>
  <c r="Q11" i="7"/>
  <c r="Q38" i="7"/>
  <c r="Q31" i="7"/>
  <c r="Q44" i="7"/>
  <c r="Q41" i="7"/>
  <c r="Q18" i="7"/>
  <c r="Q19" i="7"/>
  <c r="Q12" i="7"/>
  <c r="Q42" i="7"/>
  <c r="Q43" i="7"/>
  <c r="Q48" i="7"/>
  <c r="Q25" i="7"/>
  <c r="Q45" i="7"/>
  <c r="Q30" i="7"/>
  <c r="Q35" i="7"/>
  <c r="Q20" i="7"/>
  <c r="Q46" i="7"/>
  <c r="Q47" i="7"/>
  <c r="Q36" i="7"/>
  <c r="Q33" i="7"/>
  <c r="Q49" i="7"/>
  <c r="U50" i="7"/>
  <c r="U51" i="7"/>
  <c r="U46" i="7"/>
  <c r="U43" i="7"/>
  <c r="U40" i="7"/>
  <c r="U36" i="7"/>
  <c r="U33" i="7"/>
  <c r="U49" i="7"/>
  <c r="U44" i="7"/>
  <c r="U41" i="7"/>
  <c r="U37" i="7"/>
  <c r="U34" i="7"/>
  <c r="U30" i="7"/>
  <c r="U26" i="7"/>
  <c r="U47" i="7"/>
  <c r="U48" i="7"/>
  <c r="U45" i="7"/>
  <c r="U39" i="7"/>
  <c r="U35" i="7"/>
  <c r="U32" i="7"/>
  <c r="U28" i="7"/>
  <c r="U24" i="7"/>
  <c r="U19" i="7"/>
  <c r="U14" i="7"/>
  <c r="U10" i="7"/>
  <c r="U6" i="7"/>
  <c r="U29" i="7"/>
  <c r="U21" i="7"/>
  <c r="U20" i="7"/>
  <c r="U15" i="7"/>
  <c r="U11" i="7"/>
  <c r="U7" i="7"/>
  <c r="U42" i="7"/>
  <c r="U38" i="7"/>
  <c r="U31" i="7"/>
  <c r="U25" i="7"/>
  <c r="U22" i="7"/>
  <c r="U17" i="7"/>
  <c r="U16" i="7"/>
  <c r="U12" i="7"/>
  <c r="U8" i="7"/>
  <c r="U27" i="7"/>
  <c r="U23" i="7"/>
  <c r="U18" i="7"/>
  <c r="U13" i="7"/>
  <c r="U9" i="7"/>
  <c r="U5" i="7"/>
  <c r="Z48" i="8"/>
  <c r="Y48" i="23" s="1"/>
  <c r="Y100" i="23" s="1"/>
  <c r="Z46" i="8"/>
  <c r="Z41" i="8"/>
  <c r="Y41" i="23" s="1"/>
  <c r="Y93" i="23" s="1"/>
  <c r="Z38" i="8"/>
  <c r="Y38" i="23" s="1"/>
  <c r="Y90" i="23" s="1"/>
  <c r="Z32" i="8"/>
  <c r="Y32" i="23" s="1"/>
  <c r="Y84" i="23" s="1"/>
  <c r="Z29" i="8"/>
  <c r="Y29" i="23" s="1"/>
  <c r="Y81" i="23" s="1"/>
  <c r="Z26" i="8"/>
  <c r="Y26" i="23" s="1"/>
  <c r="Y78" i="23" s="1"/>
  <c r="Z50" i="8"/>
  <c r="Y50" i="23" s="1"/>
  <c r="Y102" i="23" s="1"/>
  <c r="Z47" i="8"/>
  <c r="Y47" i="23" s="1"/>
  <c r="Y99" i="23" s="1"/>
  <c r="Z43" i="8"/>
  <c r="Z40" i="8"/>
  <c r="Y40" i="23" s="1"/>
  <c r="Y92" i="23" s="1"/>
  <c r="Z35" i="8"/>
  <c r="Z31" i="8"/>
  <c r="Y31" i="23" s="1"/>
  <c r="Y83" i="23" s="1"/>
  <c r="Z28" i="8"/>
  <c r="Y28" i="23" s="1"/>
  <c r="Y80" i="23" s="1"/>
  <c r="Z23" i="8"/>
  <c r="Y23" i="23" s="1"/>
  <c r="Y75" i="23" s="1"/>
  <c r="Z49" i="8"/>
  <c r="Z45" i="8"/>
  <c r="Y45" i="23" s="1"/>
  <c r="Y97" i="23" s="1"/>
  <c r="Z42" i="8"/>
  <c r="Y42" i="23" s="1"/>
  <c r="Y94" i="23" s="1"/>
  <c r="Z37" i="8"/>
  <c r="Y37" i="23" s="1"/>
  <c r="Y89" i="23" s="1"/>
  <c r="Z34" i="8"/>
  <c r="Y34" i="23" s="1"/>
  <c r="Y86" i="23" s="1"/>
  <c r="Z30" i="8"/>
  <c r="Y30" i="23" s="1"/>
  <c r="Y82" i="23" s="1"/>
  <c r="Z25" i="8"/>
  <c r="Y25" i="23" s="1"/>
  <c r="Y77" i="23" s="1"/>
  <c r="Z22" i="8"/>
  <c r="Y22" i="23" s="1"/>
  <c r="Y74" i="23" s="1"/>
  <c r="Z51" i="8"/>
  <c r="Z44" i="8"/>
  <c r="Y44" i="23" s="1"/>
  <c r="Y96" i="23" s="1"/>
  <c r="Z39" i="8"/>
  <c r="Z36" i="8"/>
  <c r="Y36" i="23" s="1"/>
  <c r="Y88" i="23" s="1"/>
  <c r="Z33" i="8"/>
  <c r="Z27" i="8"/>
  <c r="Y27" i="23" s="1"/>
  <c r="Y79" i="23" s="1"/>
  <c r="Z24" i="8"/>
  <c r="Z19" i="8"/>
  <c r="Y19" i="23" s="1"/>
  <c r="Y71" i="23" s="1"/>
  <c r="Z21" i="8"/>
  <c r="Y21" i="23" s="1"/>
  <c r="Y73" i="23" s="1"/>
  <c r="Z15" i="8"/>
  <c r="Y15" i="23" s="1"/>
  <c r="Y67" i="23" s="1"/>
  <c r="Z12" i="8"/>
  <c r="Y12" i="23" s="1"/>
  <c r="Y64" i="23" s="1"/>
  <c r="Z7" i="8"/>
  <c r="Y7" i="23" s="1"/>
  <c r="Y59" i="23" s="1"/>
  <c r="Z20" i="8"/>
  <c r="Y20" i="23" s="1"/>
  <c r="Y72" i="23" s="1"/>
  <c r="Z17" i="8"/>
  <c r="Y17" i="23" s="1"/>
  <c r="Y69" i="23" s="1"/>
  <c r="Z14" i="8"/>
  <c r="Y14" i="23" s="1"/>
  <c r="Y66" i="23" s="1"/>
  <c r="Z9" i="8"/>
  <c r="Y9" i="23" s="1"/>
  <c r="Y61" i="23" s="1"/>
  <c r="Z6" i="8"/>
  <c r="Y6" i="23" s="1"/>
  <c r="Y58" i="23" s="1"/>
  <c r="Z16" i="8"/>
  <c r="Y16" i="23" s="1"/>
  <c r="Y68" i="23" s="1"/>
  <c r="Z11" i="8"/>
  <c r="Y11" i="23" s="1"/>
  <c r="Y63" i="23" s="1"/>
  <c r="Z8" i="8"/>
  <c r="Y8" i="23" s="1"/>
  <c r="Y60" i="23" s="1"/>
  <c r="Z18" i="8"/>
  <c r="Y18" i="23" s="1"/>
  <c r="Y70" i="23" s="1"/>
  <c r="Z13" i="8"/>
  <c r="Y13" i="23" s="1"/>
  <c r="Y65" i="23" s="1"/>
  <c r="Z10" i="8"/>
  <c r="Y10" i="23" s="1"/>
  <c r="Y62" i="23" s="1"/>
  <c r="Z5" i="8"/>
  <c r="Y5" i="23" s="1"/>
  <c r="Y57" i="23" s="1"/>
  <c r="AH17" i="7"/>
  <c r="AH12" i="7"/>
  <c r="AH8" i="7"/>
  <c r="AH18" i="7"/>
  <c r="AH13" i="7"/>
  <c r="AH9" i="7"/>
  <c r="AH5" i="7"/>
  <c r="AH25" i="7"/>
  <c r="AH20" i="7"/>
  <c r="AH19" i="7"/>
  <c r="AH14" i="7"/>
  <c r="AH10" i="7"/>
  <c r="AH6" i="7"/>
  <c r="AH16" i="7"/>
  <c r="AH15" i="7"/>
  <c r="AH11" i="7"/>
  <c r="AH7" i="7"/>
  <c r="AH27" i="7"/>
  <c r="AH36" i="7"/>
  <c r="AH33" i="7"/>
  <c r="AH44" i="7"/>
  <c r="AH37" i="7"/>
  <c r="AH30" i="7"/>
  <c r="AH46" i="7"/>
  <c r="AH39" i="7"/>
  <c r="AH43" i="7"/>
  <c r="AH40" i="7"/>
  <c r="AH21" i="7"/>
  <c r="AH48" i="7"/>
  <c r="AH41" i="7"/>
  <c r="AH34" i="7"/>
  <c r="AH50" i="7"/>
  <c r="AH47" i="7"/>
  <c r="AH24" i="7"/>
  <c r="AH28" i="7"/>
  <c r="AH45" i="7"/>
  <c r="AH38" i="7"/>
  <c r="AH31" i="7"/>
  <c r="AH51" i="7"/>
  <c r="AH22" i="7"/>
  <c r="AH23" i="7"/>
  <c r="AH29" i="7"/>
  <c r="AH32" i="7"/>
  <c r="AH49" i="7"/>
  <c r="AH26" i="7"/>
  <c r="AH42" i="7"/>
  <c r="AH35" i="7"/>
  <c r="S18" i="7"/>
  <c r="S13" i="7"/>
  <c r="S9" i="7"/>
  <c r="S5" i="7"/>
  <c r="S19" i="7"/>
  <c r="S14" i="7"/>
  <c r="S10" i="7"/>
  <c r="S6" i="7"/>
  <c r="S20" i="7"/>
  <c r="S15" i="7"/>
  <c r="S11" i="7"/>
  <c r="S7" i="7"/>
  <c r="S25" i="7"/>
  <c r="S17" i="7"/>
  <c r="S16" i="7"/>
  <c r="S12" i="7"/>
  <c r="S8" i="7"/>
  <c r="S41" i="7"/>
  <c r="S30" i="7"/>
  <c r="S38" i="7"/>
  <c r="S39" i="7"/>
  <c r="S48" i="7"/>
  <c r="S49" i="7"/>
  <c r="S34" i="7"/>
  <c r="S23" i="7"/>
  <c r="S42" i="7"/>
  <c r="S27" i="7"/>
  <c r="S43" i="7"/>
  <c r="S32" i="7"/>
  <c r="S29" i="7"/>
  <c r="S24" i="7"/>
  <c r="S21" i="7"/>
  <c r="S22" i="7"/>
  <c r="S28" i="7"/>
  <c r="S46" i="7"/>
  <c r="S31" i="7"/>
  <c r="S47" i="7"/>
  <c r="S36" i="7"/>
  <c r="S33" i="7"/>
  <c r="S37" i="7"/>
  <c r="S26" i="7"/>
  <c r="S44" i="7"/>
  <c r="S50" i="7"/>
  <c r="S35" i="7"/>
  <c r="S51" i="7"/>
  <c r="S40" i="7"/>
  <c r="S45" i="7"/>
  <c r="R28" i="7"/>
  <c r="R26" i="7"/>
  <c r="R27" i="7"/>
  <c r="R25" i="7"/>
  <c r="R22" i="7"/>
  <c r="R17" i="7"/>
  <c r="R16" i="7"/>
  <c r="R12" i="7"/>
  <c r="R8" i="7"/>
  <c r="R23" i="7"/>
  <c r="R18" i="7"/>
  <c r="R13" i="7"/>
  <c r="R9" i="7"/>
  <c r="R5" i="7"/>
  <c r="R29" i="7"/>
  <c r="R24" i="7"/>
  <c r="R19" i="7"/>
  <c r="R14" i="7"/>
  <c r="R10" i="7"/>
  <c r="R6" i="7"/>
  <c r="R21" i="7"/>
  <c r="R20" i="7"/>
  <c r="R15" i="7"/>
  <c r="R11" i="7"/>
  <c r="R7" i="7"/>
  <c r="R36" i="7"/>
  <c r="R49" i="7"/>
  <c r="R34" i="7"/>
  <c r="R50" i="7"/>
  <c r="R31" i="7"/>
  <c r="R51" i="7"/>
  <c r="R43" i="7"/>
  <c r="R40" i="7"/>
  <c r="R33" i="7"/>
  <c r="R32" i="7"/>
  <c r="R37" i="7"/>
  <c r="R38" i="7"/>
  <c r="R35" i="7"/>
  <c r="R44" i="7"/>
  <c r="R41" i="7"/>
  <c r="R42" i="7"/>
  <c r="R39" i="7"/>
  <c r="R48" i="7"/>
  <c r="R45" i="7"/>
  <c r="R30" i="7"/>
  <c r="R46" i="7"/>
  <c r="R47" i="7"/>
  <c r="U14" i="12"/>
  <c r="U14" i="13"/>
  <c r="M14" i="12"/>
  <c r="M14" i="13"/>
  <c r="O48" i="10"/>
  <c r="T47" i="12"/>
  <c r="M47" i="12"/>
  <c r="M31" i="11"/>
  <c r="U34" i="11"/>
  <c r="M26" i="11"/>
  <c r="M41" i="11"/>
  <c r="M25" i="11"/>
  <c r="M28" i="11"/>
  <c r="U13" i="11"/>
  <c r="U37" i="11"/>
  <c r="U21" i="11"/>
  <c r="M17" i="11"/>
  <c r="U28" i="11"/>
  <c r="U31" i="11"/>
  <c r="AI29" i="7"/>
  <c r="AI36" i="7"/>
  <c r="AI39" i="7"/>
  <c r="AI38" i="7"/>
  <c r="AI28" i="7"/>
  <c r="AI26" i="7"/>
  <c r="AI37" i="7"/>
  <c r="U20" i="11"/>
  <c r="U16" i="11"/>
  <c r="U15" i="11"/>
  <c r="U11" i="11"/>
  <c r="U8" i="11"/>
  <c r="U7" i="11"/>
  <c r="U6" i="11"/>
  <c r="U5" i="11"/>
  <c r="U10" i="11"/>
  <c r="U9" i="11"/>
  <c r="M9" i="11"/>
  <c r="M8" i="11"/>
  <c r="M7" i="11"/>
  <c r="M6" i="11"/>
  <c r="M5" i="11"/>
  <c r="M15" i="11"/>
  <c r="M10" i="11"/>
  <c r="O47" i="12"/>
  <c r="V47" i="12"/>
  <c r="P47" i="11"/>
  <c r="M27" i="11"/>
  <c r="U30" i="11"/>
  <c r="M38" i="11"/>
  <c r="M22" i="11"/>
  <c r="M37" i="11"/>
  <c r="M21" i="11"/>
  <c r="M40" i="11"/>
  <c r="M24" i="11"/>
  <c r="U33" i="11"/>
  <c r="U17" i="11"/>
  <c r="M12" i="11"/>
  <c r="U24" i="11"/>
  <c r="M20" i="11"/>
  <c r="U27" i="11"/>
  <c r="U9" i="9"/>
  <c r="AI51" i="7"/>
  <c r="AI35" i="7"/>
  <c r="Q7" i="9"/>
  <c r="AI50" i="7"/>
  <c r="AI34" i="7"/>
  <c r="AI23" i="7"/>
  <c r="AI21" i="7"/>
  <c r="M39" i="11"/>
  <c r="M23" i="11"/>
  <c r="U26" i="11"/>
  <c r="M34" i="11"/>
  <c r="M33" i="11"/>
  <c r="U40" i="11"/>
  <c r="M36" i="11"/>
  <c r="M18" i="11"/>
  <c r="U29" i="11"/>
  <c r="U12" i="11"/>
  <c r="U36" i="11"/>
  <c r="M16" i="11"/>
  <c r="U39" i="11"/>
  <c r="U23" i="11"/>
  <c r="R48" i="11"/>
  <c r="R47" i="11" s="1"/>
  <c r="AL55" i="9"/>
  <c r="AL55" i="8"/>
  <c r="AL55" i="7"/>
  <c r="AL57" i="6"/>
  <c r="AL54" i="9"/>
  <c r="AL54" i="8"/>
  <c r="AL54" i="7"/>
  <c r="M35" i="11"/>
  <c r="U38" i="11"/>
  <c r="U22" i="11"/>
  <c r="M30" i="11"/>
  <c r="M29" i="11"/>
  <c r="M32" i="11"/>
  <c r="U18" i="11"/>
  <c r="M13" i="11"/>
  <c r="U41" i="11"/>
  <c r="U25" i="11"/>
  <c r="U32" i="11"/>
  <c r="M11" i="11"/>
  <c r="U35" i="11"/>
  <c r="U19" i="11"/>
  <c r="M19" i="11"/>
  <c r="AC13" i="9"/>
  <c r="AD13" i="9" s="1"/>
  <c r="R48" i="12"/>
  <c r="R47" i="12" s="1"/>
  <c r="AI25" i="7"/>
  <c r="AI18" i="7"/>
  <c r="AI13" i="7"/>
  <c r="AI9" i="7"/>
  <c r="AI5" i="7"/>
  <c r="AI20" i="7"/>
  <c r="AI19" i="7"/>
  <c r="AI14" i="7"/>
  <c r="AI10" i="7"/>
  <c r="AI6" i="7"/>
  <c r="AI16" i="7"/>
  <c r="AI15" i="7"/>
  <c r="AI11" i="7"/>
  <c r="AI7" i="7"/>
  <c r="AI17" i="7"/>
  <c r="AI12" i="7"/>
  <c r="AI8" i="7"/>
  <c r="AI30" i="7"/>
  <c r="AI41" i="7"/>
  <c r="Z47" i="11"/>
  <c r="AB54" i="9"/>
  <c r="AB54" i="8"/>
  <c r="AB54" i="7"/>
  <c r="V48" i="10"/>
  <c r="N48" i="10"/>
  <c r="T48" i="10"/>
  <c r="Z48" i="10"/>
  <c r="P48" i="10"/>
  <c r="M55" i="6"/>
  <c r="M60" i="6" s="1"/>
  <c r="M37" i="7" s="1"/>
  <c r="Y56" i="6"/>
  <c r="Y60" i="6" s="1"/>
  <c r="V60" i="6"/>
  <c r="V56" i="6"/>
  <c r="Y51" i="23" l="1"/>
  <c r="Y103" i="23" s="1"/>
  <c r="Y35" i="23"/>
  <c r="Y87" i="23" s="1"/>
  <c r="R33" i="11"/>
  <c r="R39" i="11"/>
  <c r="R36" i="11"/>
  <c r="R35" i="11"/>
  <c r="R13" i="11"/>
  <c r="R26" i="11"/>
  <c r="R41" i="11"/>
  <c r="R9" i="11"/>
  <c r="R8" i="11"/>
  <c r="R27" i="11"/>
  <c r="R24" i="11"/>
  <c r="R23" i="11"/>
  <c r="R18" i="11"/>
  <c r="R30" i="11"/>
  <c r="R11" i="11"/>
  <c r="R37" i="11"/>
  <c r="R40" i="11"/>
  <c r="R5" i="11"/>
  <c r="R10" i="11"/>
  <c r="R38" i="11"/>
  <c r="R17" i="11"/>
  <c r="R34" i="11"/>
  <c r="R12" i="11"/>
  <c r="R25" i="11"/>
  <c r="R19" i="11"/>
  <c r="R21" i="11"/>
  <c r="R14" i="11"/>
  <c r="Y33" i="23"/>
  <c r="Y85" i="23" s="1"/>
  <c r="Y49" i="23"/>
  <c r="Y101" i="23" s="1"/>
  <c r="P9" i="25"/>
  <c r="P15" i="25" s="1"/>
  <c r="E30" i="5"/>
  <c r="F4" i="5"/>
  <c r="E4" i="5"/>
  <c r="Y24" i="23"/>
  <c r="Y76" i="23" s="1"/>
  <c r="Y39" i="23"/>
  <c r="Y91" i="23" s="1"/>
  <c r="Y43" i="23"/>
  <c r="Y95" i="23" s="1"/>
  <c r="Y46" i="23"/>
  <c r="Y98" i="23" s="1"/>
  <c r="Z53" i="9"/>
  <c r="S14" i="24"/>
  <c r="S56" i="24" s="1"/>
  <c r="O11" i="25"/>
  <c r="AI42" i="9"/>
  <c r="AI31" i="9"/>
  <c r="AI47" i="9"/>
  <c r="AI24" i="9"/>
  <c r="P11" i="25"/>
  <c r="AI22" i="9"/>
  <c r="AI46" i="9"/>
  <c r="AI45" i="9"/>
  <c r="M14" i="24"/>
  <c r="M56" i="24" s="1"/>
  <c r="AI40" i="9"/>
  <c r="AI33" i="9"/>
  <c r="AI49" i="9"/>
  <c r="AI48" i="9"/>
  <c r="O9" i="25"/>
  <c r="O15" i="25" s="1"/>
  <c r="AI27" i="9"/>
  <c r="AI44" i="9"/>
  <c r="AI32" i="9"/>
  <c r="AI43" i="9"/>
  <c r="P7" i="25"/>
  <c r="M6" i="26"/>
  <c r="M10" i="26"/>
  <c r="X6" i="25"/>
  <c r="X10" i="25"/>
  <c r="Y19" i="7"/>
  <c r="Y14" i="7"/>
  <c r="Y10" i="7"/>
  <c r="Y6" i="7"/>
  <c r="Y20" i="7"/>
  <c r="Y15" i="7"/>
  <c r="Y11" i="7"/>
  <c r="Y7" i="7"/>
  <c r="Y17" i="7"/>
  <c r="Y16" i="7"/>
  <c r="Y12" i="7"/>
  <c r="Y8" i="7"/>
  <c r="Y25" i="7"/>
  <c r="Y18" i="7"/>
  <c r="Y13" i="7"/>
  <c r="Y9" i="7"/>
  <c r="Y5" i="7"/>
  <c r="Y29" i="7"/>
  <c r="Y21" i="7"/>
  <c r="Y28" i="7"/>
  <c r="Y44" i="7"/>
  <c r="Y33" i="7"/>
  <c r="Y49" i="7"/>
  <c r="Y46" i="7"/>
  <c r="Y47" i="7"/>
  <c r="Y22" i="7"/>
  <c r="Y38" i="7"/>
  <c r="Y32" i="7"/>
  <c r="Y48" i="7"/>
  <c r="Y37" i="7"/>
  <c r="Y26" i="7"/>
  <c r="Y50" i="7"/>
  <c r="Y35" i="7"/>
  <c r="Y51" i="7"/>
  <c r="Y27" i="7"/>
  <c r="Y23" i="7"/>
  <c r="Y42" i="7"/>
  <c r="Y36" i="7"/>
  <c r="Y41" i="7"/>
  <c r="Y30" i="7"/>
  <c r="Y39" i="7"/>
  <c r="Y31" i="7"/>
  <c r="Y24" i="7"/>
  <c r="Y40" i="7"/>
  <c r="Y45" i="7"/>
  <c r="Y34" i="7"/>
  <c r="Y43" i="7"/>
  <c r="M37" i="9"/>
  <c r="Z15" i="11"/>
  <c r="Z10" i="11"/>
  <c r="Z9" i="11"/>
  <c r="Z8" i="11"/>
  <c r="Z7" i="11"/>
  <c r="Z6" i="11"/>
  <c r="Z5" i="11"/>
  <c r="Z35" i="11"/>
  <c r="Z25" i="11"/>
  <c r="Z22" i="11"/>
  <c r="Z38" i="11"/>
  <c r="Z16" i="11"/>
  <c r="Z32" i="11"/>
  <c r="Z19" i="11"/>
  <c r="Z23" i="11"/>
  <c r="Z29" i="11"/>
  <c r="Z26" i="11"/>
  <c r="Z20" i="11"/>
  <c r="Z36" i="11"/>
  <c r="Z12" i="11"/>
  <c r="Z39" i="11"/>
  <c r="Z27" i="11"/>
  <c r="Z33" i="11"/>
  <c r="Z30" i="11"/>
  <c r="Z24" i="11"/>
  <c r="Z40" i="11"/>
  <c r="Z17" i="11"/>
  <c r="Z13" i="11"/>
  <c r="Z31" i="11"/>
  <c r="Z21" i="11"/>
  <c r="Z37" i="11"/>
  <c r="Z34" i="11"/>
  <c r="Z11" i="11"/>
  <c r="Z28" i="11"/>
  <c r="Z41" i="11"/>
  <c r="Z18" i="11"/>
  <c r="Z14" i="11"/>
  <c r="AI11" i="9"/>
  <c r="AI10" i="9"/>
  <c r="U32" i="12"/>
  <c r="U32" i="13"/>
  <c r="U22" i="12"/>
  <c r="U22" i="13"/>
  <c r="U36" i="12"/>
  <c r="U36" i="13"/>
  <c r="U26" i="12"/>
  <c r="U26" i="13"/>
  <c r="AI35" i="9"/>
  <c r="U24" i="12"/>
  <c r="U24" i="13"/>
  <c r="M24" i="12"/>
  <c r="M24" i="13"/>
  <c r="M8" i="12"/>
  <c r="M8" i="13"/>
  <c r="U5" i="12"/>
  <c r="U5" i="13"/>
  <c r="U43" i="11"/>
  <c r="AI37" i="9"/>
  <c r="U31" i="12"/>
  <c r="U31" i="13"/>
  <c r="U37" i="12"/>
  <c r="U37" i="13"/>
  <c r="M44" i="7"/>
  <c r="R41" i="9"/>
  <c r="R43" i="9"/>
  <c r="R11" i="9"/>
  <c r="R24" i="9"/>
  <c r="R25" i="9"/>
  <c r="V54" i="9"/>
  <c r="V54" i="8"/>
  <c r="V58" i="8" s="1"/>
  <c r="V54" i="7"/>
  <c r="T15" i="11"/>
  <c r="T10" i="11"/>
  <c r="T9" i="11"/>
  <c r="T8" i="11"/>
  <c r="T7" i="11"/>
  <c r="T6" i="11"/>
  <c r="T5" i="11"/>
  <c r="T29" i="11"/>
  <c r="T34" i="11"/>
  <c r="T28" i="11"/>
  <c r="T18" i="11"/>
  <c r="T27" i="11"/>
  <c r="T11" i="11"/>
  <c r="T17" i="11"/>
  <c r="T33" i="11"/>
  <c r="T22" i="11"/>
  <c r="T38" i="11"/>
  <c r="T32" i="11"/>
  <c r="T14" i="11"/>
  <c r="T31" i="11"/>
  <c r="T16" i="11"/>
  <c r="T41" i="11"/>
  <c r="T21" i="11"/>
  <c r="T37" i="11"/>
  <c r="T26" i="11"/>
  <c r="T36" i="11"/>
  <c r="T19" i="11"/>
  <c r="T35" i="11"/>
  <c r="T20" i="11"/>
  <c r="T25" i="11"/>
  <c r="T30" i="11"/>
  <c r="T24" i="11"/>
  <c r="T13" i="11"/>
  <c r="T23" i="11"/>
  <c r="T39" i="11"/>
  <c r="T40" i="11"/>
  <c r="T12" i="11"/>
  <c r="AI12" i="9"/>
  <c r="AI15" i="9"/>
  <c r="AI14" i="9"/>
  <c r="AI9" i="9"/>
  <c r="U19" i="12"/>
  <c r="U19" i="13"/>
  <c r="U25" i="12"/>
  <c r="U25" i="13"/>
  <c r="M32" i="12"/>
  <c r="M32" i="13"/>
  <c r="U38" i="12"/>
  <c r="U38" i="13"/>
  <c r="U23" i="12"/>
  <c r="U23" i="13"/>
  <c r="U12" i="12"/>
  <c r="U12" i="13"/>
  <c r="U40" i="12"/>
  <c r="U40" i="13"/>
  <c r="M23" i="12"/>
  <c r="M23" i="13"/>
  <c r="AI34" i="9"/>
  <c r="AI51" i="9"/>
  <c r="M12" i="12"/>
  <c r="M12" i="13"/>
  <c r="M40" i="12"/>
  <c r="M40" i="13"/>
  <c r="M38" i="12"/>
  <c r="M38" i="13"/>
  <c r="M5" i="12"/>
  <c r="M5" i="13"/>
  <c r="M43" i="11"/>
  <c r="M9" i="12"/>
  <c r="M9" i="13"/>
  <c r="U6" i="12"/>
  <c r="U6" i="13"/>
  <c r="U15" i="12"/>
  <c r="U15" i="13"/>
  <c r="AI26" i="9"/>
  <c r="AI36" i="9"/>
  <c r="U28" i="12"/>
  <c r="U28" i="13"/>
  <c r="U13" i="12"/>
  <c r="U13" i="13"/>
  <c r="M26" i="12"/>
  <c r="M26" i="13"/>
  <c r="M8" i="7"/>
  <c r="R47" i="9"/>
  <c r="R48" i="9"/>
  <c r="R44" i="9"/>
  <c r="R32" i="9"/>
  <c r="R51" i="9"/>
  <c r="R49" i="9"/>
  <c r="R15" i="9"/>
  <c r="R10" i="9"/>
  <c r="R29" i="9"/>
  <c r="R18" i="9"/>
  <c r="R16" i="9"/>
  <c r="R27" i="9"/>
  <c r="M31" i="7"/>
  <c r="AH42" i="9"/>
  <c r="AH29" i="9"/>
  <c r="AH31" i="9"/>
  <c r="AH24" i="9"/>
  <c r="AH41" i="9"/>
  <c r="AH43" i="9"/>
  <c r="AH37" i="9"/>
  <c r="AH27" i="9"/>
  <c r="AH16" i="9"/>
  <c r="AH19" i="9"/>
  <c r="AH9" i="9"/>
  <c r="AH12" i="9"/>
  <c r="M46" i="7"/>
  <c r="U13" i="9"/>
  <c r="U8" i="9"/>
  <c r="U22" i="9"/>
  <c r="U42" i="9"/>
  <c r="U20" i="9"/>
  <c r="U10" i="9"/>
  <c r="U28" i="9"/>
  <c r="U45" i="9"/>
  <c r="U30" i="9"/>
  <c r="U44" i="9"/>
  <c r="U40" i="9"/>
  <c r="U50" i="9"/>
  <c r="M49" i="7"/>
  <c r="Q36" i="9"/>
  <c r="Q35" i="9"/>
  <c r="Q48" i="9"/>
  <c r="Q19" i="9"/>
  <c r="Q31" i="9"/>
  <c r="Q37" i="9"/>
  <c r="Q34" i="9"/>
  <c r="Q6" i="9"/>
  <c r="Q26" i="9"/>
  <c r="Q23" i="9"/>
  <c r="Q28" i="9"/>
  <c r="Q27" i="9"/>
  <c r="M40" i="7"/>
  <c r="AD36" i="7"/>
  <c r="AC36" i="9"/>
  <c r="AD36" i="9" s="1"/>
  <c r="AD23" i="7"/>
  <c r="AC23" i="9"/>
  <c r="AD23" i="9" s="1"/>
  <c r="AD32" i="7"/>
  <c r="AC32" i="9"/>
  <c r="AD32" i="9" s="1"/>
  <c r="AD34" i="7"/>
  <c r="AC34" i="9"/>
  <c r="AD34" i="9" s="1"/>
  <c r="AD43" i="7"/>
  <c r="AC43" i="9"/>
  <c r="AD43" i="9" s="1"/>
  <c r="AD30" i="7"/>
  <c r="AC30" i="9"/>
  <c r="AD30" i="9" s="1"/>
  <c r="AD39" i="7"/>
  <c r="AC39" i="9"/>
  <c r="AD39" i="9" s="1"/>
  <c r="AD24" i="7"/>
  <c r="AC24" i="9"/>
  <c r="AD24" i="9" s="1"/>
  <c r="AD7" i="7"/>
  <c r="AC7" i="9"/>
  <c r="AD7" i="9" s="1"/>
  <c r="AD6" i="7"/>
  <c r="AC6" i="9"/>
  <c r="AD6" i="9" s="1"/>
  <c r="AD20" i="7"/>
  <c r="AC20" i="9"/>
  <c r="AD20" i="9" s="1"/>
  <c r="AD18" i="7"/>
  <c r="AC18" i="9"/>
  <c r="AD18" i="9" s="1"/>
  <c r="M43" i="7"/>
  <c r="W15" i="9"/>
  <c r="W6" i="9"/>
  <c r="W24" i="9"/>
  <c r="W13" i="9"/>
  <c r="W8" i="9"/>
  <c r="W22" i="9"/>
  <c r="W40" i="9"/>
  <c r="W37" i="9"/>
  <c r="W46" i="9"/>
  <c r="W39" i="9"/>
  <c r="W31" i="9"/>
  <c r="W51" i="9"/>
  <c r="X16" i="9"/>
  <c r="X11" i="9"/>
  <c r="X28" i="9"/>
  <c r="X19" i="9"/>
  <c r="X37" i="9"/>
  <c r="X13" i="9"/>
  <c r="X26" i="9"/>
  <c r="X38" i="9"/>
  <c r="X29" i="9"/>
  <c r="X43" i="9"/>
  <c r="X39" i="9"/>
  <c r="X49" i="9"/>
  <c r="P45" i="9"/>
  <c r="P39" i="9"/>
  <c r="P51" i="9"/>
  <c r="P40" i="9"/>
  <c r="P49" i="9"/>
  <c r="P5" i="9"/>
  <c r="P53" i="7"/>
  <c r="P58" i="7" s="1"/>
  <c r="P16" i="8" s="1"/>
  <c r="P23" i="9"/>
  <c r="P16" i="9"/>
  <c r="P11" i="9"/>
  <c r="P25" i="9"/>
  <c r="P14" i="9"/>
  <c r="P26" i="9"/>
  <c r="R38" i="12"/>
  <c r="S38" i="11"/>
  <c r="R38" i="13"/>
  <c r="S38" i="13" s="1"/>
  <c r="R17" i="12"/>
  <c r="S17" i="11"/>
  <c r="R17" i="13"/>
  <c r="S17" i="13" s="1"/>
  <c r="R34" i="12"/>
  <c r="S34" i="11"/>
  <c r="R34" i="13"/>
  <c r="S34" i="13" s="1"/>
  <c r="S12" i="11"/>
  <c r="R12" i="12"/>
  <c r="R12" i="13"/>
  <c r="S12" i="13" s="1"/>
  <c r="R25" i="12"/>
  <c r="S25" i="11"/>
  <c r="R25" i="13"/>
  <c r="S25" i="13" s="1"/>
  <c r="R19" i="12"/>
  <c r="S19" i="11"/>
  <c r="R19" i="13"/>
  <c r="S19" i="13" s="1"/>
  <c r="R21" i="12"/>
  <c r="S21" i="11"/>
  <c r="R21" i="13"/>
  <c r="S21" i="13" s="1"/>
  <c r="R14" i="12"/>
  <c r="S14" i="11"/>
  <c r="R14" i="13"/>
  <c r="S14" i="13" s="1"/>
  <c r="R6" i="12"/>
  <c r="S6" i="11"/>
  <c r="R6" i="13"/>
  <c r="S6" i="13" s="1"/>
  <c r="M34" i="7"/>
  <c r="O45" i="9"/>
  <c r="O38" i="9"/>
  <c r="O48" i="9"/>
  <c r="O28" i="9"/>
  <c r="O40" i="9"/>
  <c r="O23" i="9"/>
  <c r="O36" i="9"/>
  <c r="O34" i="9"/>
  <c r="O16" i="9"/>
  <c r="O15" i="9"/>
  <c r="O10" i="9"/>
  <c r="O9" i="9"/>
  <c r="L36" i="9"/>
  <c r="L20" i="9"/>
  <c r="L34" i="9"/>
  <c r="L25" i="9"/>
  <c r="L46" i="9"/>
  <c r="L19" i="9"/>
  <c r="L30" i="9"/>
  <c r="L6" i="9"/>
  <c r="L28" i="9"/>
  <c r="L23" i="9"/>
  <c r="L26" i="9"/>
  <c r="L27" i="9"/>
  <c r="M16" i="7"/>
  <c r="M9" i="7"/>
  <c r="M5" i="7"/>
  <c r="M10" i="7"/>
  <c r="M6" i="7"/>
  <c r="M15" i="7"/>
  <c r="M13" i="7"/>
  <c r="M25" i="7"/>
  <c r="V49" i="7"/>
  <c r="V44" i="7"/>
  <c r="V41" i="7"/>
  <c r="V37" i="7"/>
  <c r="V34" i="7"/>
  <c r="V30" i="7"/>
  <c r="V47" i="7"/>
  <c r="V42" i="7"/>
  <c r="V38" i="7"/>
  <c r="V31" i="7"/>
  <c r="AB31" i="7" s="1"/>
  <c r="V27" i="7"/>
  <c r="V50" i="7"/>
  <c r="V48" i="7"/>
  <c r="V45" i="7"/>
  <c r="AB45" i="7" s="1"/>
  <c r="V51" i="7"/>
  <c r="V46" i="7"/>
  <c r="V43" i="7"/>
  <c r="V40" i="7"/>
  <c r="V36" i="7"/>
  <c r="V33" i="7"/>
  <c r="V29" i="7"/>
  <c r="V25" i="7"/>
  <c r="V21" i="7"/>
  <c r="V20" i="7"/>
  <c r="V15" i="7"/>
  <c r="V11" i="7"/>
  <c r="V7" i="7"/>
  <c r="V26" i="7"/>
  <c r="V22" i="7"/>
  <c r="V17" i="7"/>
  <c r="V16" i="7"/>
  <c r="V12" i="7"/>
  <c r="V8" i="7"/>
  <c r="V39" i="7"/>
  <c r="V35" i="7"/>
  <c r="V32" i="7"/>
  <c r="V23" i="7"/>
  <c r="V18" i="7"/>
  <c r="V13" i="7"/>
  <c r="V9" i="7"/>
  <c r="AB9" i="7" s="1"/>
  <c r="V5" i="7"/>
  <c r="V28" i="7"/>
  <c r="V24" i="7"/>
  <c r="V19" i="7"/>
  <c r="V14" i="7"/>
  <c r="V10" i="7"/>
  <c r="V6" i="7"/>
  <c r="P15" i="11"/>
  <c r="P10" i="11"/>
  <c r="P8" i="11"/>
  <c r="P7" i="11"/>
  <c r="P6" i="11"/>
  <c r="P5" i="11"/>
  <c r="P9" i="11"/>
  <c r="P22" i="11"/>
  <c r="P38" i="11"/>
  <c r="P19" i="11"/>
  <c r="P35" i="11"/>
  <c r="P24" i="11"/>
  <c r="P40" i="11"/>
  <c r="P21" i="11"/>
  <c r="P37" i="11"/>
  <c r="P26" i="11"/>
  <c r="P23" i="11"/>
  <c r="P39" i="11"/>
  <c r="P11" i="11"/>
  <c r="P28" i="11"/>
  <c r="P25" i="11"/>
  <c r="P41" i="11"/>
  <c r="P12" i="11"/>
  <c r="P13" i="11"/>
  <c r="P30" i="11"/>
  <c r="P27" i="11"/>
  <c r="P16" i="11"/>
  <c r="P32" i="11"/>
  <c r="P29" i="11"/>
  <c r="P17" i="11"/>
  <c r="P18" i="11"/>
  <c r="P34" i="11"/>
  <c r="P14" i="11"/>
  <c r="P31" i="11"/>
  <c r="P20" i="11"/>
  <c r="P36" i="11"/>
  <c r="P33" i="11"/>
  <c r="N15" i="11"/>
  <c r="N10" i="11"/>
  <c r="N9" i="11"/>
  <c r="N8" i="11"/>
  <c r="N7" i="11"/>
  <c r="N6" i="11"/>
  <c r="N5" i="11"/>
  <c r="N25" i="11"/>
  <c r="N41" i="11"/>
  <c r="N18" i="11"/>
  <c r="N34" i="11"/>
  <c r="N14" i="11"/>
  <c r="N20" i="11"/>
  <c r="N36" i="11"/>
  <c r="N23" i="11"/>
  <c r="N39" i="11"/>
  <c r="N12" i="11"/>
  <c r="N29" i="11"/>
  <c r="N22" i="11"/>
  <c r="N38" i="11"/>
  <c r="N19" i="11"/>
  <c r="N24" i="11"/>
  <c r="N27" i="11"/>
  <c r="N17" i="11"/>
  <c r="N33" i="11"/>
  <c r="N26" i="11"/>
  <c r="N11" i="11"/>
  <c r="N28" i="11"/>
  <c r="N31" i="11"/>
  <c r="N21" i="11"/>
  <c r="N37" i="11"/>
  <c r="N13" i="11"/>
  <c r="N30" i="11"/>
  <c r="N16" i="11"/>
  <c r="N32" i="11"/>
  <c r="N35" i="11"/>
  <c r="N40" i="11"/>
  <c r="AI41" i="9"/>
  <c r="AI17" i="9"/>
  <c r="AI16" i="9"/>
  <c r="AI19" i="9"/>
  <c r="AI13" i="9"/>
  <c r="U35" i="12"/>
  <c r="U35" i="13"/>
  <c r="U41" i="12"/>
  <c r="U41" i="13"/>
  <c r="M29" i="12"/>
  <c r="M29" i="13"/>
  <c r="M35" i="12"/>
  <c r="M35" i="13"/>
  <c r="U39" i="12"/>
  <c r="U39" i="13"/>
  <c r="U29" i="12"/>
  <c r="U29" i="13"/>
  <c r="M33" i="12"/>
  <c r="M33" i="13"/>
  <c r="M39" i="12"/>
  <c r="M39" i="13"/>
  <c r="AI50" i="9"/>
  <c r="U27" i="12"/>
  <c r="U27" i="13"/>
  <c r="U17" i="12"/>
  <c r="U17" i="13"/>
  <c r="M21" i="12"/>
  <c r="M21" i="13"/>
  <c r="U30" i="12"/>
  <c r="U30" i="13"/>
  <c r="M6" i="12"/>
  <c r="M6" i="13"/>
  <c r="U9" i="12"/>
  <c r="U9" i="13"/>
  <c r="U7" i="12"/>
  <c r="U7" i="13"/>
  <c r="U16" i="12"/>
  <c r="U16" i="13"/>
  <c r="AI28" i="9"/>
  <c r="AI29" i="9"/>
  <c r="M17" i="12"/>
  <c r="M17" i="13"/>
  <c r="M28" i="12"/>
  <c r="M28" i="13"/>
  <c r="U34" i="12"/>
  <c r="U34" i="13"/>
  <c r="O15" i="11"/>
  <c r="O10" i="11"/>
  <c r="O9" i="11"/>
  <c r="O8" i="11"/>
  <c r="O7" i="11"/>
  <c r="O6" i="11"/>
  <c r="O5" i="11"/>
  <c r="O35" i="11"/>
  <c r="O32" i="11"/>
  <c r="O29" i="11"/>
  <c r="O16" i="11"/>
  <c r="O13" i="11"/>
  <c r="O30" i="11"/>
  <c r="O23" i="11"/>
  <c r="O39" i="11"/>
  <c r="O36" i="11"/>
  <c r="O33" i="11"/>
  <c r="O20" i="11"/>
  <c r="O12" i="11"/>
  <c r="O18" i="11"/>
  <c r="O34" i="11"/>
  <c r="O27" i="11"/>
  <c r="O24" i="11"/>
  <c r="O21" i="11"/>
  <c r="O37" i="11"/>
  <c r="O40" i="11"/>
  <c r="O17" i="11"/>
  <c r="O22" i="11"/>
  <c r="O38" i="11"/>
  <c r="O14" i="11"/>
  <c r="O31" i="11"/>
  <c r="O28" i="11"/>
  <c r="O25" i="11"/>
  <c r="O11" i="11"/>
  <c r="O41" i="11"/>
  <c r="O26" i="11"/>
  <c r="O19" i="11"/>
  <c r="M28" i="7"/>
  <c r="R46" i="9"/>
  <c r="R39" i="9"/>
  <c r="R35" i="9"/>
  <c r="R33" i="9"/>
  <c r="R31" i="9"/>
  <c r="R36" i="9"/>
  <c r="R20" i="9"/>
  <c r="R14" i="9"/>
  <c r="R5" i="9"/>
  <c r="R53" i="7"/>
  <c r="R23" i="9"/>
  <c r="R17" i="9"/>
  <c r="R26" i="9"/>
  <c r="M39" i="7"/>
  <c r="AH26" i="9"/>
  <c r="AH23" i="9"/>
  <c r="AH38" i="9"/>
  <c r="AH47" i="9"/>
  <c r="AH48" i="9"/>
  <c r="AH39" i="9"/>
  <c r="AH44" i="9"/>
  <c r="AH7" i="9"/>
  <c r="AH6" i="9"/>
  <c r="AH20" i="9"/>
  <c r="AH13" i="9"/>
  <c r="AH17" i="9"/>
  <c r="M14" i="7"/>
  <c r="M22" i="7"/>
  <c r="U18" i="9"/>
  <c r="U12" i="9"/>
  <c r="U25" i="9"/>
  <c r="U7" i="9"/>
  <c r="U21" i="9"/>
  <c r="U14" i="9"/>
  <c r="U32" i="9"/>
  <c r="AB48" i="7"/>
  <c r="U48" i="9"/>
  <c r="U34" i="9"/>
  <c r="U49" i="9"/>
  <c r="U43" i="9"/>
  <c r="M20" i="7"/>
  <c r="M7" i="7"/>
  <c r="Q47" i="9"/>
  <c r="Q30" i="9"/>
  <c r="Q43" i="9"/>
  <c r="Q18" i="9"/>
  <c r="Q38" i="9"/>
  <c r="Q40" i="9"/>
  <c r="Q32" i="9"/>
  <c r="Q10" i="9"/>
  <c r="Q5" i="9"/>
  <c r="Q53" i="7"/>
  <c r="Q58" i="7" s="1"/>
  <c r="Q36" i="8" s="1"/>
  <c r="Q8" i="9"/>
  <c r="Q15" i="9"/>
  <c r="M48" i="7"/>
  <c r="AD51" i="7"/>
  <c r="AC51" i="9"/>
  <c r="AD51" i="9" s="1"/>
  <c r="AD21" i="7"/>
  <c r="AC21" i="9"/>
  <c r="AD21" i="9" s="1"/>
  <c r="AD47" i="7"/>
  <c r="AC47" i="9"/>
  <c r="AD47" i="9" s="1"/>
  <c r="AD41" i="7"/>
  <c r="AC41" i="9"/>
  <c r="AD41" i="9" s="1"/>
  <c r="AD27" i="7"/>
  <c r="AC27" i="9"/>
  <c r="AD27" i="9" s="1"/>
  <c r="AD37" i="7"/>
  <c r="AC37" i="9"/>
  <c r="AD37" i="9" s="1"/>
  <c r="AD46" i="7"/>
  <c r="AC46" i="9"/>
  <c r="AD46" i="9" s="1"/>
  <c r="AD8" i="7"/>
  <c r="AC8" i="9"/>
  <c r="AD8" i="9" s="1"/>
  <c r="AD11" i="7"/>
  <c r="AC11" i="9"/>
  <c r="AD11" i="9" s="1"/>
  <c r="AD10" i="7"/>
  <c r="AC10" i="9"/>
  <c r="AD10" i="9" s="1"/>
  <c r="AD5" i="7"/>
  <c r="AC53" i="7"/>
  <c r="AC58" i="7" s="1"/>
  <c r="AC32" i="8" s="1"/>
  <c r="AC5" i="9"/>
  <c r="AD25" i="7"/>
  <c r="AC25" i="9"/>
  <c r="AD25" i="9" s="1"/>
  <c r="M51" i="7"/>
  <c r="W20" i="9"/>
  <c r="W10" i="9"/>
  <c r="W27" i="9"/>
  <c r="W18" i="9"/>
  <c r="W12" i="9"/>
  <c r="W29" i="9"/>
  <c r="W26" i="9"/>
  <c r="W41" i="9"/>
  <c r="W28" i="9"/>
  <c r="W45" i="9"/>
  <c r="W38" i="9"/>
  <c r="M17" i="7"/>
  <c r="X17" i="9"/>
  <c r="X15" i="9"/>
  <c r="X6" i="9"/>
  <c r="X24" i="9"/>
  <c r="X41" i="9"/>
  <c r="X18" i="9"/>
  <c r="X44" i="9"/>
  <c r="X42" i="9"/>
  <c r="X33" i="9"/>
  <c r="X46" i="9"/>
  <c r="X45" i="9"/>
  <c r="S46" i="13"/>
  <c r="S46" i="10"/>
  <c r="S46" i="12"/>
  <c r="S46" i="11"/>
  <c r="P48" i="8"/>
  <c r="P48" i="9"/>
  <c r="P50" i="9"/>
  <c r="P35" i="8"/>
  <c r="P35" i="9"/>
  <c r="P42" i="9"/>
  <c r="P33" i="8"/>
  <c r="P33" i="9"/>
  <c r="P9" i="9"/>
  <c r="P29" i="8"/>
  <c r="P29" i="9"/>
  <c r="P17" i="9"/>
  <c r="P15" i="8"/>
  <c r="P15" i="9"/>
  <c r="P27" i="9"/>
  <c r="P19" i="8"/>
  <c r="P19" i="9"/>
  <c r="R22" i="12"/>
  <c r="S22" i="11"/>
  <c r="R22" i="13"/>
  <c r="S22" i="13" s="1"/>
  <c r="R20" i="12"/>
  <c r="S20" i="11"/>
  <c r="R20" i="13"/>
  <c r="S20" i="13" s="1"/>
  <c r="R29" i="12"/>
  <c r="S29" i="11"/>
  <c r="R29" i="13"/>
  <c r="S29" i="13" s="1"/>
  <c r="R16" i="12"/>
  <c r="S16" i="11"/>
  <c r="R16" i="13"/>
  <c r="S16" i="13" s="1"/>
  <c r="R32" i="12"/>
  <c r="S32" i="11"/>
  <c r="R32" i="13"/>
  <c r="S32" i="13" s="1"/>
  <c r="R31" i="12"/>
  <c r="S31" i="11"/>
  <c r="R31" i="13"/>
  <c r="S31" i="13" s="1"/>
  <c r="R28" i="12"/>
  <c r="S28" i="11"/>
  <c r="R28" i="13"/>
  <c r="S28" i="13" s="1"/>
  <c r="R15" i="12"/>
  <c r="S15" i="11"/>
  <c r="R15" i="13"/>
  <c r="S15" i="13" s="1"/>
  <c r="R7" i="12"/>
  <c r="S7" i="11"/>
  <c r="R7" i="13"/>
  <c r="S7" i="13" s="1"/>
  <c r="M42" i="7"/>
  <c r="O32" i="9"/>
  <c r="O44" i="9"/>
  <c r="O47" i="9"/>
  <c r="O26" i="9"/>
  <c r="O43" i="9"/>
  <c r="O21" i="9"/>
  <c r="O39" i="9"/>
  <c r="O24" i="9"/>
  <c r="O17" i="9"/>
  <c r="O20" i="9"/>
  <c r="O14" i="9"/>
  <c r="O13" i="9"/>
  <c r="M45" i="7"/>
  <c r="L18" i="9"/>
  <c r="L39" i="9"/>
  <c r="L48" i="9"/>
  <c r="L12" i="9"/>
  <c r="L44" i="9"/>
  <c r="L51" i="9"/>
  <c r="L37" i="9"/>
  <c r="L10" i="9"/>
  <c r="L53" i="7"/>
  <c r="L58" i="7" s="1"/>
  <c r="L20" i="8" s="1"/>
  <c r="L20" i="23" s="1"/>
  <c r="L72" i="23" s="1"/>
  <c r="L5" i="9"/>
  <c r="L8" i="9"/>
  <c r="L15" i="9"/>
  <c r="M21" i="7"/>
  <c r="L44" i="13"/>
  <c r="L44" i="12"/>
  <c r="L48" i="12" s="1"/>
  <c r="L44" i="11"/>
  <c r="L48" i="11" s="1"/>
  <c r="L44" i="10"/>
  <c r="Y54" i="8"/>
  <c r="Y58" i="8" s="1"/>
  <c r="Y11" i="9" s="1"/>
  <c r="Y54" i="9"/>
  <c r="Y54" i="7"/>
  <c r="V15" i="11"/>
  <c r="V8" i="11"/>
  <c r="V7" i="11"/>
  <c r="V6" i="11"/>
  <c r="V5" i="11"/>
  <c r="V18" i="11"/>
  <c r="V10" i="11"/>
  <c r="W10" i="11" s="1"/>
  <c r="V9" i="11"/>
  <c r="V41" i="11"/>
  <c r="V30" i="11"/>
  <c r="V23" i="11"/>
  <c r="V39" i="11"/>
  <c r="V36" i="11"/>
  <c r="V29" i="11"/>
  <c r="V14" i="11"/>
  <c r="V11" i="11"/>
  <c r="W11" i="11" s="1"/>
  <c r="V34" i="11"/>
  <c r="V27" i="11"/>
  <c r="V24" i="11"/>
  <c r="V40" i="11"/>
  <c r="V33" i="11"/>
  <c r="V12" i="11"/>
  <c r="V13" i="11"/>
  <c r="V19" i="11"/>
  <c r="V16" i="11"/>
  <c r="V22" i="11"/>
  <c r="V38" i="11"/>
  <c r="V31" i="11"/>
  <c r="V28" i="11"/>
  <c r="V21" i="11"/>
  <c r="V37" i="11"/>
  <c r="V17" i="11"/>
  <c r="V20" i="11"/>
  <c r="V26" i="11"/>
  <c r="V35" i="11"/>
  <c r="V32" i="11"/>
  <c r="V25" i="11"/>
  <c r="AI30" i="9"/>
  <c r="AI7" i="9"/>
  <c r="AI6" i="9"/>
  <c r="AI20" i="9"/>
  <c r="AI18" i="9"/>
  <c r="M11" i="12"/>
  <c r="M11" i="13"/>
  <c r="M13" i="12"/>
  <c r="M13" i="24" s="1"/>
  <c r="M55" i="24" s="1"/>
  <c r="M13" i="13"/>
  <c r="M30" i="12"/>
  <c r="M30" i="13"/>
  <c r="M16" i="12"/>
  <c r="M16" i="24" s="1"/>
  <c r="M58" i="24" s="1"/>
  <c r="M16" i="13"/>
  <c r="M18" i="12"/>
  <c r="M18" i="13"/>
  <c r="M34" i="12"/>
  <c r="M34" i="24" s="1"/>
  <c r="M76" i="24" s="1"/>
  <c r="M34" i="13"/>
  <c r="AI21" i="9"/>
  <c r="M20" i="12"/>
  <c r="M20" i="13"/>
  <c r="U33" i="12"/>
  <c r="U33" i="13"/>
  <c r="M37" i="12"/>
  <c r="M37" i="13"/>
  <c r="M27" i="12"/>
  <c r="M27" i="13"/>
  <c r="M10" i="12"/>
  <c r="M10" i="13"/>
  <c r="M7" i="12"/>
  <c r="M7" i="13"/>
  <c r="U10" i="12"/>
  <c r="U10" i="13"/>
  <c r="W8" i="11"/>
  <c r="U8" i="12"/>
  <c r="U8" i="13"/>
  <c r="U20" i="12"/>
  <c r="U20" i="13"/>
  <c r="AI38" i="9"/>
  <c r="W21" i="11"/>
  <c r="U21" i="12"/>
  <c r="U21" i="13"/>
  <c r="M25" i="12"/>
  <c r="M25" i="13"/>
  <c r="M31" i="12"/>
  <c r="M31" i="13"/>
  <c r="M36" i="7"/>
  <c r="R30" i="9"/>
  <c r="R42" i="9"/>
  <c r="R38" i="9"/>
  <c r="R40" i="9"/>
  <c r="R50" i="9"/>
  <c r="R7" i="9"/>
  <c r="R21" i="9"/>
  <c r="R19" i="9"/>
  <c r="R9" i="9"/>
  <c r="R8" i="9"/>
  <c r="R22" i="9"/>
  <c r="R28" i="9"/>
  <c r="M47" i="7"/>
  <c r="AH49" i="9"/>
  <c r="AH22" i="9"/>
  <c r="AH45" i="9"/>
  <c r="AH50" i="9"/>
  <c r="AH21" i="9"/>
  <c r="AH46" i="9"/>
  <c r="AH33" i="9"/>
  <c r="AH11" i="9"/>
  <c r="AH10" i="9"/>
  <c r="AH25" i="9"/>
  <c r="AH18" i="9"/>
  <c r="Z53" i="8"/>
  <c r="M30" i="7"/>
  <c r="U5" i="9"/>
  <c r="AB5" i="7"/>
  <c r="U53" i="7"/>
  <c r="U58" i="7" s="1"/>
  <c r="U13" i="8" s="1"/>
  <c r="T13" i="23" s="1"/>
  <c r="T65" i="23" s="1"/>
  <c r="U23" i="9"/>
  <c r="U16" i="9"/>
  <c r="U31" i="9"/>
  <c r="U11" i="9"/>
  <c r="U29" i="9"/>
  <c r="U19" i="9"/>
  <c r="U35" i="9"/>
  <c r="U47" i="9"/>
  <c r="U37" i="9"/>
  <c r="U33" i="9"/>
  <c r="U46" i="9"/>
  <c r="M33" i="7"/>
  <c r="Q49" i="9"/>
  <c r="Q46" i="9"/>
  <c r="Q45" i="9"/>
  <c r="Q42" i="9"/>
  <c r="Q41" i="9"/>
  <c r="Q11" i="9"/>
  <c r="Q51" i="9"/>
  <c r="Q39" i="9"/>
  <c r="Q14" i="9"/>
  <c r="Q9" i="9"/>
  <c r="Q16" i="9"/>
  <c r="Q21" i="9"/>
  <c r="M18" i="7"/>
  <c r="M24" i="7"/>
  <c r="AD35" i="7"/>
  <c r="AC35" i="9"/>
  <c r="AD35" i="9" s="1"/>
  <c r="AD29" i="7"/>
  <c r="AC29" i="9"/>
  <c r="AD29" i="9" s="1"/>
  <c r="AC31" i="8"/>
  <c r="AD31" i="7"/>
  <c r="AC31" i="9"/>
  <c r="AD31" i="9" s="1"/>
  <c r="AD49" i="7"/>
  <c r="AC49" i="9"/>
  <c r="AD49" i="9" s="1"/>
  <c r="AD50" i="7"/>
  <c r="AC50" i="9"/>
  <c r="AD50" i="9" s="1"/>
  <c r="AC45" i="8"/>
  <c r="AD45" i="8" s="1"/>
  <c r="AD45" i="7"/>
  <c r="AC45" i="9"/>
  <c r="AD45" i="9" s="1"/>
  <c r="AC28" i="8"/>
  <c r="AD28" i="7"/>
  <c r="AC28" i="9"/>
  <c r="AD28" i="9" s="1"/>
  <c r="AD12" i="7"/>
  <c r="AC12" i="9"/>
  <c r="AD12" i="9" s="1"/>
  <c r="AD15" i="7"/>
  <c r="AC15" i="9"/>
  <c r="AD15" i="9" s="1"/>
  <c r="AC14" i="8"/>
  <c r="AD14" i="8" s="1"/>
  <c r="AD14" i="7"/>
  <c r="AC14" i="9"/>
  <c r="AD14" i="9" s="1"/>
  <c r="AD9" i="7"/>
  <c r="AC9" i="9"/>
  <c r="AD9" i="9" s="1"/>
  <c r="M27" i="7"/>
  <c r="W7" i="9"/>
  <c r="W21" i="9"/>
  <c r="W14" i="9"/>
  <c r="W53" i="7"/>
  <c r="W58" i="7" s="1"/>
  <c r="W10" i="8" s="1"/>
  <c r="W5" i="9"/>
  <c r="W23" i="9"/>
  <c r="W16" i="9"/>
  <c r="W33" i="9"/>
  <c r="W30" i="9"/>
  <c r="W44" i="9"/>
  <c r="W32" i="9"/>
  <c r="W48" i="9"/>
  <c r="W42" i="9"/>
  <c r="X8" i="9"/>
  <c r="X22" i="9"/>
  <c r="X20" i="9"/>
  <c r="X10" i="9"/>
  <c r="X30" i="9"/>
  <c r="X5" i="9"/>
  <c r="X53" i="7"/>
  <c r="X58" i="7" s="1"/>
  <c r="X16" i="8" s="1"/>
  <c r="W16" i="23" s="1"/>
  <c r="W68" i="23" s="1"/>
  <c r="X23" i="9"/>
  <c r="AB27" i="7"/>
  <c r="X27" i="9"/>
  <c r="X47" i="9"/>
  <c r="X36" i="9"/>
  <c r="X32" i="9"/>
  <c r="X48" i="9"/>
  <c r="P43" i="9"/>
  <c r="P32" i="9"/>
  <c r="P41" i="9"/>
  <c r="P46" i="9"/>
  <c r="P47" i="9"/>
  <c r="P36" i="9"/>
  <c r="P13" i="9"/>
  <c r="P8" i="9"/>
  <c r="P22" i="9"/>
  <c r="P20" i="9"/>
  <c r="P6" i="9"/>
  <c r="P24" i="9"/>
  <c r="R33" i="12"/>
  <c r="S33" i="12" s="1"/>
  <c r="S33" i="11"/>
  <c r="R33" i="13"/>
  <c r="S33" i="13" s="1"/>
  <c r="R39" i="12"/>
  <c r="S39" i="11"/>
  <c r="R39" i="13"/>
  <c r="S39" i="13" s="1"/>
  <c r="R36" i="12"/>
  <c r="S36" i="11"/>
  <c r="R36" i="13"/>
  <c r="S36" i="13" s="1"/>
  <c r="R35" i="12"/>
  <c r="S35" i="11"/>
  <c r="R35" i="13"/>
  <c r="S35" i="13" s="1"/>
  <c r="R13" i="12"/>
  <c r="S13" i="12" s="1"/>
  <c r="S13" i="11"/>
  <c r="R13" i="13"/>
  <c r="S13" i="13" s="1"/>
  <c r="R26" i="12"/>
  <c r="S26" i="11"/>
  <c r="R26" i="13"/>
  <c r="S26" i="13" s="1"/>
  <c r="R41" i="12"/>
  <c r="S41" i="11"/>
  <c r="R41" i="13"/>
  <c r="S41" i="13" s="1"/>
  <c r="R9" i="12"/>
  <c r="S9" i="11"/>
  <c r="R9" i="13"/>
  <c r="S9" i="13" s="1"/>
  <c r="R8" i="12"/>
  <c r="S8" i="12" s="1"/>
  <c r="S8" i="11"/>
  <c r="R8" i="13"/>
  <c r="S8" i="13" s="1"/>
  <c r="AA53" i="8"/>
  <c r="M50" i="7"/>
  <c r="O51" i="9"/>
  <c r="O30" i="9"/>
  <c r="O31" i="9"/>
  <c r="O41" i="9"/>
  <c r="O27" i="9"/>
  <c r="O37" i="9"/>
  <c r="O42" i="9"/>
  <c r="O8" i="9"/>
  <c r="O7" i="9"/>
  <c r="O25" i="9"/>
  <c r="O19" i="9"/>
  <c r="O18" i="9"/>
  <c r="L47" i="8"/>
  <c r="L47" i="23" s="1"/>
  <c r="L99" i="23" s="1"/>
  <c r="L47" i="9"/>
  <c r="L49" i="9"/>
  <c r="L43" i="8"/>
  <c r="L43" i="23" s="1"/>
  <c r="L95" i="23" s="1"/>
  <c r="L43" i="9"/>
  <c r="L7" i="9"/>
  <c r="L35" i="8"/>
  <c r="L35" i="9"/>
  <c r="L41" i="9"/>
  <c r="L42" i="8"/>
  <c r="L42" i="9"/>
  <c r="L32" i="9"/>
  <c r="L14" i="8"/>
  <c r="L14" i="23" s="1"/>
  <c r="L66" i="23" s="1"/>
  <c r="L14" i="9"/>
  <c r="L9" i="9"/>
  <c r="L16" i="8"/>
  <c r="L16" i="23" s="1"/>
  <c r="L68" i="23" s="1"/>
  <c r="L16" i="9"/>
  <c r="L21" i="9"/>
  <c r="M23" i="7"/>
  <c r="AI8" i="9"/>
  <c r="AI53" i="7"/>
  <c r="AI58" i="7" s="1"/>
  <c r="AI37" i="8" s="1"/>
  <c r="AI5" i="9"/>
  <c r="AI25" i="9"/>
  <c r="M19" i="12"/>
  <c r="M19" i="13"/>
  <c r="U18" i="12"/>
  <c r="U18" i="13"/>
  <c r="M36" i="12"/>
  <c r="M36" i="13"/>
  <c r="AI23" i="9"/>
  <c r="M22" i="12"/>
  <c r="M22" i="13"/>
  <c r="M15" i="12"/>
  <c r="M15" i="13"/>
  <c r="U11" i="12"/>
  <c r="U11" i="13"/>
  <c r="AI39" i="9"/>
  <c r="M41" i="12"/>
  <c r="M41" i="13"/>
  <c r="R45" i="9"/>
  <c r="R37" i="9"/>
  <c r="R34" i="9"/>
  <c r="R6" i="9"/>
  <c r="R13" i="9"/>
  <c r="R12" i="9"/>
  <c r="M19" i="7"/>
  <c r="S53" i="7"/>
  <c r="M12" i="7"/>
  <c r="AH35" i="9"/>
  <c r="AH32" i="9"/>
  <c r="AH51" i="9"/>
  <c r="AH28" i="9"/>
  <c r="AH34" i="9"/>
  <c r="AH40" i="9"/>
  <c r="AH30" i="9"/>
  <c r="AH36" i="9"/>
  <c r="AH15" i="9"/>
  <c r="AH14" i="9"/>
  <c r="AH5" i="9"/>
  <c r="AH53" i="7"/>
  <c r="AH58" i="7" s="1"/>
  <c r="AH49" i="8" s="1"/>
  <c r="AD49" i="23" s="1"/>
  <c r="AD101" i="23" s="1"/>
  <c r="AH8" i="9"/>
  <c r="M38" i="7"/>
  <c r="U27" i="9"/>
  <c r="U17" i="9"/>
  <c r="U38" i="9"/>
  <c r="AB38" i="7"/>
  <c r="U15" i="9"/>
  <c r="U6" i="9"/>
  <c r="AB6" i="7"/>
  <c r="U24" i="9"/>
  <c r="U39" i="9"/>
  <c r="AB26" i="7"/>
  <c r="U26" i="9"/>
  <c r="U41" i="9"/>
  <c r="U36" i="9"/>
  <c r="U51" i="9"/>
  <c r="M41" i="7"/>
  <c r="Q33" i="9"/>
  <c r="Q20" i="8"/>
  <c r="Q20" i="9"/>
  <c r="Q25" i="9"/>
  <c r="Q12" i="8"/>
  <c r="Q12" i="9"/>
  <c r="Q44" i="9"/>
  <c r="Q7" i="8"/>
  <c r="Q7" i="23" s="1"/>
  <c r="Q59" i="23" s="1"/>
  <c r="Q50" i="9"/>
  <c r="Q17" i="9"/>
  <c r="Q24" i="9"/>
  <c r="Q13" i="9"/>
  <c r="Q22" i="9"/>
  <c r="Q29" i="9"/>
  <c r="M32" i="7"/>
  <c r="AC33" i="8"/>
  <c r="AD33" i="7"/>
  <c r="AC33" i="9"/>
  <c r="AD33" i="9" s="1"/>
  <c r="AD42" i="7"/>
  <c r="AC42" i="8"/>
  <c r="AC42" i="9"/>
  <c r="AD42" i="9" s="1"/>
  <c r="AD48" i="7"/>
  <c r="AC48" i="8"/>
  <c r="AC48" i="9"/>
  <c r="AD48" i="9" s="1"/>
  <c r="AC38" i="8"/>
  <c r="AD38" i="7"/>
  <c r="AC38" i="9"/>
  <c r="AD38" i="9" s="1"/>
  <c r="AD44" i="7"/>
  <c r="AC44" i="8"/>
  <c r="AC44" i="9"/>
  <c r="AD44" i="9" s="1"/>
  <c r="AC22" i="8"/>
  <c r="AD22" i="7"/>
  <c r="AC22" i="9"/>
  <c r="AD22" i="9" s="1"/>
  <c r="AC40" i="8"/>
  <c r="AD40" i="7"/>
  <c r="AC40" i="9"/>
  <c r="AD40" i="9" s="1"/>
  <c r="AC26" i="8"/>
  <c r="AD26" i="7"/>
  <c r="AC26" i="9"/>
  <c r="AD26" i="9" s="1"/>
  <c r="AC17" i="8"/>
  <c r="AD17" i="7"/>
  <c r="AC17" i="9"/>
  <c r="AD17" i="9" s="1"/>
  <c r="AC16" i="8"/>
  <c r="AD16" i="7"/>
  <c r="AC16" i="9"/>
  <c r="AD16" i="9" s="1"/>
  <c r="AC19" i="8"/>
  <c r="AD19" i="7"/>
  <c r="AC19" i="9"/>
  <c r="AD19" i="9" s="1"/>
  <c r="AC13" i="8"/>
  <c r="AD13" i="7"/>
  <c r="M35" i="7"/>
  <c r="W11" i="9"/>
  <c r="AB43" i="7"/>
  <c r="W43" i="9"/>
  <c r="W19" i="8"/>
  <c r="W19" i="9"/>
  <c r="W9" i="9"/>
  <c r="W25" i="8"/>
  <c r="W25" i="9"/>
  <c r="W17" i="9"/>
  <c r="W36" i="8"/>
  <c r="W36" i="9"/>
  <c r="W34" i="9"/>
  <c r="AB49" i="7"/>
  <c r="W49" i="9"/>
  <c r="W35" i="9"/>
  <c r="W50" i="8"/>
  <c r="W50" i="9"/>
  <c r="W47" i="9"/>
  <c r="X12" i="9"/>
  <c r="X7" i="9"/>
  <c r="X21" i="8"/>
  <c r="X21" i="9"/>
  <c r="X14" i="9"/>
  <c r="X34" i="8"/>
  <c r="X34" i="9"/>
  <c r="X9" i="9"/>
  <c r="X25" i="9"/>
  <c r="X31" i="9"/>
  <c r="X51" i="8"/>
  <c r="X51" i="9"/>
  <c r="X40" i="9"/>
  <c r="X35" i="9"/>
  <c r="X50" i="8"/>
  <c r="X50" i="9"/>
  <c r="P30" i="9"/>
  <c r="P31" i="8"/>
  <c r="P31" i="9"/>
  <c r="P44" i="9"/>
  <c r="P37" i="8"/>
  <c r="P37" i="9"/>
  <c r="P34" i="9"/>
  <c r="P38" i="8"/>
  <c r="P38" i="9"/>
  <c r="P18" i="9"/>
  <c r="P12" i="8"/>
  <c r="P12" i="9"/>
  <c r="P7" i="9"/>
  <c r="P21" i="8"/>
  <c r="P21" i="9"/>
  <c r="P10" i="9"/>
  <c r="P28" i="8"/>
  <c r="P28" i="9"/>
  <c r="R27" i="12"/>
  <c r="S27" i="12" s="1"/>
  <c r="S27" i="11"/>
  <c r="R27" i="13"/>
  <c r="S27" i="13" s="1"/>
  <c r="R24" i="12"/>
  <c r="S24" i="11"/>
  <c r="R24" i="13"/>
  <c r="S24" i="13" s="1"/>
  <c r="R23" i="12"/>
  <c r="S23" i="11"/>
  <c r="R23" i="13"/>
  <c r="S23" i="13" s="1"/>
  <c r="R18" i="12"/>
  <c r="S18" i="11"/>
  <c r="R18" i="13"/>
  <c r="S18" i="13" s="1"/>
  <c r="R30" i="12"/>
  <c r="S30" i="12" s="1"/>
  <c r="S30" i="11"/>
  <c r="R30" i="13"/>
  <c r="S30" i="13" s="1"/>
  <c r="R11" i="12"/>
  <c r="S11" i="11"/>
  <c r="R11" i="13"/>
  <c r="S11" i="13" s="1"/>
  <c r="R37" i="12"/>
  <c r="S37" i="11"/>
  <c r="R37" i="13"/>
  <c r="S37" i="13" s="1"/>
  <c r="R40" i="12"/>
  <c r="S40" i="11"/>
  <c r="R40" i="13"/>
  <c r="S40" i="13" s="1"/>
  <c r="R5" i="12"/>
  <c r="S5" i="11"/>
  <c r="R5" i="13"/>
  <c r="R43" i="11"/>
  <c r="R10" i="12"/>
  <c r="S10" i="11"/>
  <c r="R10" i="13"/>
  <c r="S10" i="13" s="1"/>
  <c r="M26" i="7"/>
  <c r="M11" i="7"/>
  <c r="O35" i="9"/>
  <c r="O33" i="9"/>
  <c r="O50" i="9"/>
  <c r="O29" i="9"/>
  <c r="O46" i="9"/>
  <c r="O49" i="9"/>
  <c r="O22" i="9"/>
  <c r="O12" i="9"/>
  <c r="O11" i="9"/>
  <c r="O6" i="9"/>
  <c r="O5" i="9"/>
  <c r="O53" i="7"/>
  <c r="O58" i="7" s="1"/>
  <c r="O51" i="8" s="1"/>
  <c r="M29" i="7"/>
  <c r="L38" i="8"/>
  <c r="L38" i="9"/>
  <c r="L33" i="9"/>
  <c r="L50" i="8"/>
  <c r="L50" i="9"/>
  <c r="L45" i="9"/>
  <c r="L31" i="8"/>
  <c r="L31" i="9"/>
  <c r="L17" i="9"/>
  <c r="L40" i="8"/>
  <c r="L40" i="9"/>
  <c r="L11" i="9"/>
  <c r="L24" i="8"/>
  <c r="L24" i="9"/>
  <c r="L13" i="9"/>
  <c r="L22" i="8"/>
  <c r="L22" i="9"/>
  <c r="L29" i="9"/>
  <c r="S45" i="13"/>
  <c r="S45" i="12"/>
  <c r="S45" i="11"/>
  <c r="S45" i="10"/>
  <c r="N56" i="6"/>
  <c r="D35" i="5"/>
  <c r="L35" i="23" l="1"/>
  <c r="L87" i="23" s="1"/>
  <c r="S10" i="24"/>
  <c r="S52" i="24" s="1"/>
  <c r="O7" i="25"/>
  <c r="S18" i="24"/>
  <c r="S60" i="24" s="1"/>
  <c r="L42" i="23"/>
  <c r="L94" i="23" s="1"/>
  <c r="S34" i="24"/>
  <c r="S76" i="24" s="1"/>
  <c r="M17" i="24"/>
  <c r="M59" i="24" s="1"/>
  <c r="S16" i="24"/>
  <c r="S58" i="24" s="1"/>
  <c r="S9" i="24"/>
  <c r="S51" i="24" s="1"/>
  <c r="S30" i="24"/>
  <c r="S72" i="24" s="1"/>
  <c r="S17" i="24"/>
  <c r="S59" i="24" s="1"/>
  <c r="P16" i="23"/>
  <c r="P68" i="23" s="1"/>
  <c r="W18" i="11"/>
  <c r="AC9" i="8"/>
  <c r="AC12" i="8"/>
  <c r="AC50" i="8"/>
  <c r="AC49" i="8"/>
  <c r="U6" i="8"/>
  <c r="U26" i="8"/>
  <c r="V36" i="23"/>
  <c r="V88" i="23" s="1"/>
  <c r="U36" i="8"/>
  <c r="X25" i="8"/>
  <c r="W25" i="23" s="1"/>
  <c r="W77" i="23" s="1"/>
  <c r="V25" i="23"/>
  <c r="V77" i="23" s="1"/>
  <c r="AB12" i="7"/>
  <c r="AB34" i="7"/>
  <c r="AB15" i="7"/>
  <c r="AB14" i="7"/>
  <c r="V50" i="23"/>
  <c r="V102" i="23" s="1"/>
  <c r="V19" i="23"/>
  <c r="V71" i="23" s="1"/>
  <c r="AC29" i="8"/>
  <c r="AD29" i="8" s="1"/>
  <c r="W51" i="23"/>
  <c r="W103" i="23" s="1"/>
  <c r="W34" i="23"/>
  <c r="W86" i="23" s="1"/>
  <c r="U24" i="8"/>
  <c r="T24" i="23" s="1"/>
  <c r="T76" i="23" s="1"/>
  <c r="U38" i="8"/>
  <c r="T38" i="23" s="1"/>
  <c r="T90" i="23" s="1"/>
  <c r="P6" i="8"/>
  <c r="P22" i="8"/>
  <c r="P13" i="8"/>
  <c r="P47" i="8"/>
  <c r="P47" i="23" s="1"/>
  <c r="P99" i="23" s="1"/>
  <c r="P41" i="8"/>
  <c r="P43" i="8"/>
  <c r="M18" i="24"/>
  <c r="M60" i="24" s="1"/>
  <c r="M30" i="24"/>
  <c r="M72" i="24" s="1"/>
  <c r="M11" i="24"/>
  <c r="M53" i="24" s="1"/>
  <c r="L15" i="8"/>
  <c r="L15" i="23" s="1"/>
  <c r="L67" i="23" s="1"/>
  <c r="W21" i="23"/>
  <c r="W73" i="23" s="1"/>
  <c r="V10" i="23"/>
  <c r="V62" i="23" s="1"/>
  <c r="L29" i="8"/>
  <c r="L13" i="8"/>
  <c r="L11" i="8"/>
  <c r="L17" i="8"/>
  <c r="L45" i="8"/>
  <c r="L33" i="8"/>
  <c r="P10" i="8"/>
  <c r="P7" i="8"/>
  <c r="P7" i="23" s="1"/>
  <c r="P59" i="23" s="1"/>
  <c r="P18" i="8"/>
  <c r="P34" i="8"/>
  <c r="P44" i="8"/>
  <c r="P30" i="8"/>
  <c r="X35" i="8"/>
  <c r="W35" i="23" s="1"/>
  <c r="W87" i="23" s="1"/>
  <c r="W47" i="8"/>
  <c r="V47" i="23" s="1"/>
  <c r="V99" i="23" s="1"/>
  <c r="W34" i="8"/>
  <c r="V34" i="23" s="1"/>
  <c r="V86" i="23" s="1"/>
  <c r="W17" i="8"/>
  <c r="V17" i="23" s="1"/>
  <c r="V69" i="23" s="1"/>
  <c r="W9" i="8"/>
  <c r="V9" i="23" s="1"/>
  <c r="V61" i="23" s="1"/>
  <c r="W43" i="8"/>
  <c r="V43" i="23" s="1"/>
  <c r="V95" i="23" s="1"/>
  <c r="Q20" i="23"/>
  <c r="Q72" i="23" s="1"/>
  <c r="U51" i="8"/>
  <c r="T51" i="23" s="1"/>
  <c r="T103" i="23" s="1"/>
  <c r="U41" i="8"/>
  <c r="U15" i="8"/>
  <c r="T15" i="23" s="1"/>
  <c r="T67" i="23" s="1"/>
  <c r="U9" i="8"/>
  <c r="T9" i="23" s="1"/>
  <c r="T61" i="23" s="1"/>
  <c r="S11" i="24"/>
  <c r="S53" i="24" s="1"/>
  <c r="M36" i="24"/>
  <c r="M78" i="24" s="1"/>
  <c r="AE37" i="23"/>
  <c r="AE89" i="23" s="1"/>
  <c r="L21" i="8"/>
  <c r="L21" i="23" s="1"/>
  <c r="L73" i="23" s="1"/>
  <c r="L9" i="8"/>
  <c r="L9" i="23" s="1"/>
  <c r="L61" i="23" s="1"/>
  <c r="L32" i="8"/>
  <c r="L32" i="23" s="1"/>
  <c r="L84" i="23" s="1"/>
  <c r="L41" i="8"/>
  <c r="L41" i="23" s="1"/>
  <c r="L93" i="23" s="1"/>
  <c r="L7" i="8"/>
  <c r="L7" i="23" s="1"/>
  <c r="L59" i="23" s="1"/>
  <c r="L49" i="8"/>
  <c r="L49" i="23" s="1"/>
  <c r="L101" i="23" s="1"/>
  <c r="U19" i="8"/>
  <c r="T19" i="23" s="1"/>
  <c r="T71" i="23" s="1"/>
  <c r="P27" i="8"/>
  <c r="P17" i="8"/>
  <c r="P9" i="8"/>
  <c r="P9" i="23" s="1"/>
  <c r="P61" i="23" s="1"/>
  <c r="P42" i="8"/>
  <c r="P50" i="8"/>
  <c r="AB33" i="7"/>
  <c r="L51" i="8"/>
  <c r="L51" i="23" s="1"/>
  <c r="L103" i="23" s="1"/>
  <c r="U27" i="8"/>
  <c r="T27" i="23" s="1"/>
  <c r="T79" i="23" s="1"/>
  <c r="X9" i="8"/>
  <c r="W9" i="23" s="1"/>
  <c r="W61" i="23" s="1"/>
  <c r="X14" i="8"/>
  <c r="W14" i="23" s="1"/>
  <c r="W66" i="23" s="1"/>
  <c r="X7" i="8"/>
  <c r="W7" i="23" s="1"/>
  <c r="W59" i="23" s="1"/>
  <c r="W49" i="8"/>
  <c r="V49" i="23" s="1"/>
  <c r="V101" i="23" s="1"/>
  <c r="Q12" i="23"/>
  <c r="Q64" i="23" s="1"/>
  <c r="U39" i="8"/>
  <c r="T39" i="23" s="1"/>
  <c r="T91" i="23" s="1"/>
  <c r="U17" i="8"/>
  <c r="T17" i="23" s="1"/>
  <c r="T69" i="23" s="1"/>
  <c r="P24" i="8"/>
  <c r="P20" i="8"/>
  <c r="P8" i="8"/>
  <c r="P8" i="23" s="1"/>
  <c r="P60" i="23" s="1"/>
  <c r="P36" i="8"/>
  <c r="P46" i="8"/>
  <c r="P32" i="8"/>
  <c r="Q36" i="23"/>
  <c r="Q88" i="23" s="1"/>
  <c r="L22" i="23"/>
  <c r="L74" i="23" s="1"/>
  <c r="L24" i="23"/>
  <c r="L76" i="23" s="1"/>
  <c r="L40" i="23"/>
  <c r="L92" i="23" s="1"/>
  <c r="L31" i="23"/>
  <c r="L83" i="23" s="1"/>
  <c r="L50" i="23"/>
  <c r="L102" i="23" s="1"/>
  <c r="L38" i="23"/>
  <c r="L90" i="23" s="1"/>
  <c r="P12" i="23"/>
  <c r="P64" i="23" s="1"/>
  <c r="P38" i="23"/>
  <c r="P90" i="23" s="1"/>
  <c r="P37" i="23"/>
  <c r="P89" i="23" s="1"/>
  <c r="P31" i="23"/>
  <c r="P83" i="23" s="1"/>
  <c r="W50" i="23"/>
  <c r="W102" i="23" s="1"/>
  <c r="Q29" i="8"/>
  <c r="Q29" i="23" s="1"/>
  <c r="Q81" i="23" s="1"/>
  <c r="Q13" i="8"/>
  <c r="Q13" i="23" s="1"/>
  <c r="Q65" i="23" s="1"/>
  <c r="Q17" i="8"/>
  <c r="Q17" i="23" s="1"/>
  <c r="Q69" i="23" s="1"/>
  <c r="T41" i="23"/>
  <c r="T93" i="23" s="1"/>
  <c r="M15" i="24"/>
  <c r="M57" i="24" s="1"/>
  <c r="P6" i="23"/>
  <c r="P58" i="23" s="1"/>
  <c r="P13" i="23"/>
  <c r="P65" i="23" s="1"/>
  <c r="P41" i="23"/>
  <c r="P93" i="23" s="1"/>
  <c r="P43" i="23"/>
  <c r="P95" i="23" s="1"/>
  <c r="Q21" i="8"/>
  <c r="Q21" i="23" s="1"/>
  <c r="Q73" i="23" s="1"/>
  <c r="Q9" i="8"/>
  <c r="Q9" i="23" s="1"/>
  <c r="Q61" i="23" s="1"/>
  <c r="Q39" i="8"/>
  <c r="Q39" i="23" s="1"/>
  <c r="Q91" i="23" s="1"/>
  <c r="Q11" i="8"/>
  <c r="Q11" i="23" s="1"/>
  <c r="Q63" i="23" s="1"/>
  <c r="Q42" i="8"/>
  <c r="Q42" i="23" s="1"/>
  <c r="Q94" i="23" s="1"/>
  <c r="Q46" i="8"/>
  <c r="Q46" i="23" s="1"/>
  <c r="Q98" i="23" s="1"/>
  <c r="U47" i="8"/>
  <c r="T47" i="23" s="1"/>
  <c r="T99" i="23" s="1"/>
  <c r="S20" i="24"/>
  <c r="S62" i="24" s="1"/>
  <c r="L10" i="8"/>
  <c r="L39" i="8"/>
  <c r="L39" i="23" s="1"/>
  <c r="L91" i="23" s="1"/>
  <c r="P19" i="23"/>
  <c r="P71" i="23" s="1"/>
  <c r="P15" i="23"/>
  <c r="P67" i="23" s="1"/>
  <c r="P33" i="23"/>
  <c r="P85" i="23" s="1"/>
  <c r="P35" i="23"/>
  <c r="P87" i="23" s="1"/>
  <c r="P48" i="23"/>
  <c r="P100" i="23" s="1"/>
  <c r="Q43" i="8"/>
  <c r="Q43" i="23" s="1"/>
  <c r="Q95" i="23" s="1"/>
  <c r="Q44" i="8"/>
  <c r="Q44" i="23" s="1"/>
  <c r="Q96" i="23" s="1"/>
  <c r="Q33" i="8"/>
  <c r="Q33" i="23" s="1"/>
  <c r="Q85" i="23" s="1"/>
  <c r="Q25" i="8"/>
  <c r="Q25" i="23" s="1"/>
  <c r="Q77" i="23" s="1"/>
  <c r="O51" i="23"/>
  <c r="O103" i="23" s="1"/>
  <c r="Q5" i="24"/>
  <c r="Q47" i="24" s="1"/>
  <c r="P18" i="23"/>
  <c r="P70" i="23" s="1"/>
  <c r="P44" i="23"/>
  <c r="P96" i="23" s="1"/>
  <c r="Q22" i="8"/>
  <c r="Q24" i="8"/>
  <c r="Q50" i="8"/>
  <c r="T6" i="23"/>
  <c r="T58" i="23" s="1"/>
  <c r="M41" i="24"/>
  <c r="M83" i="24" s="1"/>
  <c r="Q16" i="8"/>
  <c r="Q14" i="8"/>
  <c r="Q51" i="8"/>
  <c r="Q51" i="23" s="1"/>
  <c r="Q103" i="23" s="1"/>
  <c r="Q41" i="8"/>
  <c r="Q45" i="8"/>
  <c r="Q49" i="8"/>
  <c r="M10" i="24"/>
  <c r="M52" i="24" s="1"/>
  <c r="M20" i="24"/>
  <c r="M62" i="24" s="1"/>
  <c r="P17" i="23"/>
  <c r="P69" i="23" s="1"/>
  <c r="P42" i="23"/>
  <c r="P94" i="23" s="1"/>
  <c r="P50" i="23"/>
  <c r="P102" i="23" s="1"/>
  <c r="M39" i="24"/>
  <c r="M81" i="24" s="1"/>
  <c r="S29" i="24"/>
  <c r="S71" i="24" s="1"/>
  <c r="M35" i="24"/>
  <c r="M77" i="24" s="1"/>
  <c r="S41" i="24"/>
  <c r="S83" i="24" s="1"/>
  <c r="M5" i="24"/>
  <c r="M47" i="24" s="1"/>
  <c r="M40" i="24"/>
  <c r="M82" i="24" s="1"/>
  <c r="S40" i="24"/>
  <c r="S82" i="24" s="1"/>
  <c r="S23" i="24"/>
  <c r="S65" i="24" s="1"/>
  <c r="M32" i="24"/>
  <c r="M74" i="24" s="1"/>
  <c r="S19" i="24"/>
  <c r="S61" i="24" s="1"/>
  <c r="S37" i="24"/>
  <c r="S79" i="24" s="1"/>
  <c r="M8" i="24"/>
  <c r="M50" i="24" s="1"/>
  <c r="S24" i="24"/>
  <c r="S66" i="24" s="1"/>
  <c r="S37" i="12"/>
  <c r="Q37" i="24"/>
  <c r="Q79" i="24" s="1"/>
  <c r="S23" i="12"/>
  <c r="Q23" i="24"/>
  <c r="Q65" i="24" s="1"/>
  <c r="AD13" i="8"/>
  <c r="AA13" i="23"/>
  <c r="AA65" i="23" s="1"/>
  <c r="AD26" i="8"/>
  <c r="AA26" i="23"/>
  <c r="AA78" i="23" s="1"/>
  <c r="AD44" i="8"/>
  <c r="AA44" i="23"/>
  <c r="AA96" i="23" s="1"/>
  <c r="AD38" i="8"/>
  <c r="AA38" i="23"/>
  <c r="AA90" i="23" s="1"/>
  <c r="AD9" i="8"/>
  <c r="AA9" i="23"/>
  <c r="AA61" i="23" s="1"/>
  <c r="AD12" i="8"/>
  <c r="AA12" i="23"/>
  <c r="AA64" i="23" s="1"/>
  <c r="AD50" i="8"/>
  <c r="AA50" i="23"/>
  <c r="AA102" i="23" s="1"/>
  <c r="AD49" i="8"/>
  <c r="AA49" i="23"/>
  <c r="AA101" i="23" s="1"/>
  <c r="M31" i="24"/>
  <c r="M73" i="24" s="1"/>
  <c r="S21" i="24"/>
  <c r="S63" i="24" s="1"/>
  <c r="M7" i="24"/>
  <c r="M49" i="24" s="1"/>
  <c r="M27" i="24"/>
  <c r="M69" i="24" s="1"/>
  <c r="S33" i="24"/>
  <c r="S75" i="24" s="1"/>
  <c r="L10" i="23"/>
  <c r="L62" i="23" s="1"/>
  <c r="S31" i="12"/>
  <c r="Q31" i="24"/>
  <c r="Q73" i="24" s="1"/>
  <c r="S20" i="12"/>
  <c r="Q20" i="24"/>
  <c r="Q62" i="24" s="1"/>
  <c r="Q47" i="8"/>
  <c r="Q47" i="23" s="1"/>
  <c r="Q99" i="23" s="1"/>
  <c r="AB10" i="7"/>
  <c r="AB18" i="7"/>
  <c r="AB39" i="7"/>
  <c r="AB11" i="7"/>
  <c r="AB44" i="7"/>
  <c r="S14" i="12"/>
  <c r="Q14" i="24"/>
  <c r="Q56" i="24" s="1"/>
  <c r="S13" i="24"/>
  <c r="S55" i="24" s="1"/>
  <c r="S6" i="24"/>
  <c r="S48" i="24" s="1"/>
  <c r="S26" i="24"/>
  <c r="S68" i="24" s="1"/>
  <c r="S22" i="24"/>
  <c r="S64" i="24" s="1"/>
  <c r="Q27" i="24"/>
  <c r="Q69" i="24" s="1"/>
  <c r="S40" i="12"/>
  <c r="Q40" i="24"/>
  <c r="Q82" i="24" s="1"/>
  <c r="AD17" i="8"/>
  <c r="AA17" i="23"/>
  <c r="AA69" i="23" s="1"/>
  <c r="AD33" i="8"/>
  <c r="AA33" i="23"/>
  <c r="AA85" i="23" s="1"/>
  <c r="S26" i="12"/>
  <c r="Q26" i="24"/>
  <c r="Q68" i="24" s="1"/>
  <c r="S39" i="12"/>
  <c r="Q39" i="24"/>
  <c r="Q81" i="24" s="1"/>
  <c r="W33" i="11"/>
  <c r="S28" i="12"/>
  <c r="Q28" i="24"/>
  <c r="Q70" i="24" s="1"/>
  <c r="S29" i="12"/>
  <c r="Q29" i="24"/>
  <c r="Q71" i="24" s="1"/>
  <c r="AB22" i="7"/>
  <c r="AB29" i="7"/>
  <c r="S6" i="12"/>
  <c r="Q6" i="24"/>
  <c r="Q48" i="24" s="1"/>
  <c r="G9" i="26" s="1"/>
  <c r="S25" i="12"/>
  <c r="Q25" i="24"/>
  <c r="Q67" i="24" s="1"/>
  <c r="S38" i="12"/>
  <c r="Q38" i="24"/>
  <c r="Q80" i="24" s="1"/>
  <c r="AA14" i="23"/>
  <c r="AA66" i="23" s="1"/>
  <c r="Q8" i="24"/>
  <c r="Q50" i="24" s="1"/>
  <c r="S18" i="12"/>
  <c r="Q18" i="24"/>
  <c r="Q60" i="24" s="1"/>
  <c r="L29" i="23"/>
  <c r="L81" i="23" s="1"/>
  <c r="L13" i="23"/>
  <c r="L65" i="23" s="1"/>
  <c r="L11" i="23"/>
  <c r="L63" i="23" s="1"/>
  <c r="L17" i="23"/>
  <c r="L69" i="23" s="1"/>
  <c r="L45" i="23"/>
  <c r="L97" i="23" s="1"/>
  <c r="L33" i="23"/>
  <c r="L85" i="23" s="1"/>
  <c r="S10" i="12"/>
  <c r="Q10" i="24"/>
  <c r="Q52" i="24" s="1"/>
  <c r="P10" i="23"/>
  <c r="P62" i="23" s="1"/>
  <c r="P34" i="23"/>
  <c r="P86" i="23" s="1"/>
  <c r="P30" i="23"/>
  <c r="P82" i="23" s="1"/>
  <c r="AD16" i="8"/>
  <c r="AA16" i="23"/>
  <c r="AA68" i="23" s="1"/>
  <c r="AD22" i="8"/>
  <c r="AA22" i="23"/>
  <c r="AA74" i="23" s="1"/>
  <c r="AD48" i="8"/>
  <c r="AA48" i="23"/>
  <c r="AA100" i="23" s="1"/>
  <c r="Q22" i="23"/>
  <c r="Q74" i="23" s="1"/>
  <c r="Q24" i="23"/>
  <c r="Q76" i="23" s="1"/>
  <c r="Q50" i="23"/>
  <c r="Q102" i="23" s="1"/>
  <c r="T36" i="23"/>
  <c r="T88" i="23" s="1"/>
  <c r="T26" i="23"/>
  <c r="T78" i="23" s="1"/>
  <c r="M22" i="24"/>
  <c r="M64" i="24" s="1"/>
  <c r="M19" i="24"/>
  <c r="M61" i="24" s="1"/>
  <c r="S41" i="12"/>
  <c r="Q41" i="24"/>
  <c r="Q83" i="24" s="1"/>
  <c r="S36" i="12"/>
  <c r="Q36" i="24"/>
  <c r="Q78" i="24" s="1"/>
  <c r="P20" i="23"/>
  <c r="P72" i="23" s="1"/>
  <c r="P36" i="23"/>
  <c r="P88" i="23" s="1"/>
  <c r="P46" i="23"/>
  <c r="P98" i="23" s="1"/>
  <c r="P32" i="23"/>
  <c r="P84" i="23" s="1"/>
  <c r="Q16" i="23"/>
  <c r="Q68" i="23" s="1"/>
  <c r="Q14" i="23"/>
  <c r="Q66" i="23" s="1"/>
  <c r="Q41" i="23"/>
  <c r="Q93" i="23" s="1"/>
  <c r="Q45" i="23"/>
  <c r="Q97" i="23" s="1"/>
  <c r="Q49" i="23"/>
  <c r="Q101" i="23" s="1"/>
  <c r="U33" i="8"/>
  <c r="T33" i="23" s="1"/>
  <c r="T85" i="23" s="1"/>
  <c r="M25" i="24"/>
  <c r="M67" i="24" s="1"/>
  <c r="S8" i="24"/>
  <c r="S50" i="24" s="1"/>
  <c r="M37" i="24"/>
  <c r="M79" i="24" s="1"/>
  <c r="W17" i="11"/>
  <c r="W19" i="11"/>
  <c r="W39" i="11"/>
  <c r="W9" i="11"/>
  <c r="W6" i="11"/>
  <c r="L12" i="8"/>
  <c r="L12" i="23" s="1"/>
  <c r="L64" i="23" s="1"/>
  <c r="S15" i="12"/>
  <c r="Q15" i="24"/>
  <c r="Q57" i="24" s="1"/>
  <c r="S16" i="12"/>
  <c r="Q16" i="24"/>
  <c r="Q58" i="24" s="1"/>
  <c r="Q5" i="8"/>
  <c r="Q5" i="23" s="1"/>
  <c r="Q57" i="23" s="1"/>
  <c r="M28" i="24"/>
  <c r="M70" i="24" s="1"/>
  <c r="S7" i="24"/>
  <c r="S49" i="24" s="1"/>
  <c r="M6" i="24"/>
  <c r="M48" i="24" s="1"/>
  <c r="C9" i="26" s="1"/>
  <c r="M21" i="24"/>
  <c r="M63" i="24" s="1"/>
  <c r="S27" i="24"/>
  <c r="S69" i="24" s="1"/>
  <c r="AB20" i="7"/>
  <c r="AB42" i="7"/>
  <c r="AB37" i="7"/>
  <c r="S19" i="12"/>
  <c r="Q19" i="24"/>
  <c r="Q61" i="24" s="1"/>
  <c r="S17" i="12"/>
  <c r="Q17" i="24"/>
  <c r="Q59" i="24" s="1"/>
  <c r="M26" i="24"/>
  <c r="M68" i="24" s="1"/>
  <c r="S28" i="24"/>
  <c r="S70" i="24" s="1"/>
  <c r="S15" i="24"/>
  <c r="S57" i="24" s="1"/>
  <c r="M9" i="24"/>
  <c r="M51" i="24" s="1"/>
  <c r="W13" i="11"/>
  <c r="W20" i="11"/>
  <c r="W26" i="11"/>
  <c r="W38" i="11"/>
  <c r="S36" i="24"/>
  <c r="S78" i="24" s="1"/>
  <c r="S32" i="24"/>
  <c r="S74" i="24" s="1"/>
  <c r="AB23" i="7"/>
  <c r="AB32" i="7"/>
  <c r="AB46" i="7"/>
  <c r="AB8" i="7"/>
  <c r="AA45" i="23"/>
  <c r="AA97" i="23" s="1"/>
  <c r="Q13" i="24"/>
  <c r="Q55" i="24" s="1"/>
  <c r="AD42" i="8"/>
  <c r="AA42" i="23"/>
  <c r="AA94" i="23" s="1"/>
  <c r="S11" i="12"/>
  <c r="Q11" i="24"/>
  <c r="Q53" i="24" s="1"/>
  <c r="S24" i="12"/>
  <c r="Q24" i="24"/>
  <c r="Q66" i="24" s="1"/>
  <c r="AD19" i="8"/>
  <c r="AA19" i="23"/>
  <c r="AA71" i="23" s="1"/>
  <c r="AD40" i="8"/>
  <c r="AA40" i="23"/>
  <c r="AA92" i="23" s="1"/>
  <c r="S9" i="12"/>
  <c r="Q9" i="24"/>
  <c r="Q51" i="24" s="1"/>
  <c r="S35" i="12"/>
  <c r="Q35" i="24"/>
  <c r="Q77" i="24" s="1"/>
  <c r="AD28" i="8"/>
  <c r="AA28" i="23"/>
  <c r="AA80" i="23" s="1"/>
  <c r="AD31" i="8"/>
  <c r="AA31" i="23"/>
  <c r="AA83" i="23" s="1"/>
  <c r="U11" i="8"/>
  <c r="T11" i="23" s="1"/>
  <c r="T63" i="23" s="1"/>
  <c r="U23" i="8"/>
  <c r="T23" i="23" s="1"/>
  <c r="T75" i="23" s="1"/>
  <c r="U5" i="8"/>
  <c r="T5" i="23" s="1"/>
  <c r="T57" i="23" s="1"/>
  <c r="S7" i="12"/>
  <c r="Q7" i="24"/>
  <c r="Q49" i="24" s="1"/>
  <c r="S32" i="12"/>
  <c r="Q32" i="24"/>
  <c r="Q74" i="24" s="1"/>
  <c r="S22" i="12"/>
  <c r="Q22" i="24"/>
  <c r="Q64" i="24" s="1"/>
  <c r="AD32" i="8"/>
  <c r="AA32" i="23"/>
  <c r="AA84" i="23" s="1"/>
  <c r="M33" i="24"/>
  <c r="M75" i="24" s="1"/>
  <c r="S39" i="24"/>
  <c r="S81" i="24" s="1"/>
  <c r="M29" i="24"/>
  <c r="M71" i="24" s="1"/>
  <c r="S35" i="24"/>
  <c r="S77" i="24" s="1"/>
  <c r="AB24" i="7"/>
  <c r="AB35" i="7"/>
  <c r="AB16" i="7"/>
  <c r="AB7" i="7"/>
  <c r="AB36" i="7"/>
  <c r="AB47" i="7"/>
  <c r="AB41" i="7"/>
  <c r="S21" i="12"/>
  <c r="Q21" i="24"/>
  <c r="Q63" i="24" s="1"/>
  <c r="S12" i="12"/>
  <c r="Q12" i="24"/>
  <c r="Q54" i="24" s="1"/>
  <c r="S34" i="12"/>
  <c r="Q34" i="24"/>
  <c r="Q76" i="24" s="1"/>
  <c r="M38" i="24"/>
  <c r="M80" i="24" s="1"/>
  <c r="M12" i="24"/>
  <c r="M54" i="24" s="1"/>
  <c r="M23" i="24"/>
  <c r="M65" i="24" s="1"/>
  <c r="S12" i="24"/>
  <c r="S54" i="24" s="1"/>
  <c r="S38" i="24"/>
  <c r="S80" i="24" s="1"/>
  <c r="S25" i="24"/>
  <c r="S67" i="24" s="1"/>
  <c r="S31" i="24"/>
  <c r="S73" i="24" s="1"/>
  <c r="S5" i="24"/>
  <c r="S47" i="24" s="1"/>
  <c r="M24" i="24"/>
  <c r="M66" i="24" s="1"/>
  <c r="Q30" i="24"/>
  <c r="Q72" i="24" s="1"/>
  <c r="AA29" i="23"/>
  <c r="AA81" i="23" s="1"/>
  <c r="Q33" i="24"/>
  <c r="Q75" i="24" s="1"/>
  <c r="P14" i="25"/>
  <c r="O14" i="25"/>
  <c r="P13" i="25"/>
  <c r="O13" i="25"/>
  <c r="AH15" i="8"/>
  <c r="AD15" i="23" s="1"/>
  <c r="AD67" i="23" s="1"/>
  <c r="AH35" i="8"/>
  <c r="AD35" i="23" s="1"/>
  <c r="AD87" i="23" s="1"/>
  <c r="AB28" i="7"/>
  <c r="AB40" i="7"/>
  <c r="AB30" i="7"/>
  <c r="P39" i="8"/>
  <c r="P39" i="23" s="1"/>
  <c r="P91" i="23" s="1"/>
  <c r="W37" i="11"/>
  <c r="W31" i="11"/>
  <c r="W22" i="11"/>
  <c r="AH5" i="8"/>
  <c r="AD5" i="23" s="1"/>
  <c r="AD57" i="23" s="1"/>
  <c r="AH51" i="8"/>
  <c r="AD51" i="23" s="1"/>
  <c r="AD103" i="23" s="1"/>
  <c r="U46" i="8"/>
  <c r="T46" i="23" s="1"/>
  <c r="T98" i="23" s="1"/>
  <c r="U16" i="8"/>
  <c r="T16" i="23" s="1"/>
  <c r="T68" i="23" s="1"/>
  <c r="L5" i="8"/>
  <c r="L5" i="23" s="1"/>
  <c r="L57" i="23" s="1"/>
  <c r="L37" i="8"/>
  <c r="L37" i="23" s="1"/>
  <c r="L89" i="23" s="1"/>
  <c r="L44" i="8"/>
  <c r="L44" i="23" s="1"/>
  <c r="L96" i="23" s="1"/>
  <c r="L48" i="8"/>
  <c r="L48" i="23" s="1"/>
  <c r="L100" i="23" s="1"/>
  <c r="L18" i="8"/>
  <c r="L18" i="23" s="1"/>
  <c r="L70" i="23" s="1"/>
  <c r="Q38" i="8"/>
  <c r="Q38" i="23" s="1"/>
  <c r="Q90" i="23" s="1"/>
  <c r="P40" i="8"/>
  <c r="P40" i="23" s="1"/>
  <c r="P92" i="23" s="1"/>
  <c r="AH30" i="8"/>
  <c r="AD30" i="23" s="1"/>
  <c r="AD82" i="23" s="1"/>
  <c r="O53" i="9"/>
  <c r="AH34" i="8"/>
  <c r="AD34" i="23" s="1"/>
  <c r="AD86" i="23" s="1"/>
  <c r="W16" i="8"/>
  <c r="V16" i="23" s="1"/>
  <c r="V68" i="23" s="1"/>
  <c r="U37" i="8"/>
  <c r="T37" i="23" s="1"/>
  <c r="T89" i="23" s="1"/>
  <c r="U35" i="8"/>
  <c r="T35" i="23" s="1"/>
  <c r="T87" i="23" s="1"/>
  <c r="U29" i="8"/>
  <c r="T29" i="23" s="1"/>
  <c r="T81" i="23" s="1"/>
  <c r="U31" i="8"/>
  <c r="T31" i="23" s="1"/>
  <c r="T83" i="23" s="1"/>
  <c r="W34" i="11"/>
  <c r="L8" i="8"/>
  <c r="L8" i="23" s="1"/>
  <c r="L60" i="23" s="1"/>
  <c r="Q32" i="8"/>
  <c r="Q32" i="23" s="1"/>
  <c r="Q84" i="23" s="1"/>
  <c r="P5" i="8"/>
  <c r="AI39" i="8"/>
  <c r="AE39" i="23" s="1"/>
  <c r="AE91" i="23" s="1"/>
  <c r="M23" i="9"/>
  <c r="O19" i="8"/>
  <c r="O19" i="23" s="1"/>
  <c r="O71" i="23" s="1"/>
  <c r="O7" i="8"/>
  <c r="O7" i="23" s="1"/>
  <c r="O59" i="23" s="1"/>
  <c r="O27" i="8"/>
  <c r="O27" i="23" s="1"/>
  <c r="O79" i="23" s="1"/>
  <c r="O31" i="8"/>
  <c r="O31" i="23" s="1"/>
  <c r="O83" i="23" s="1"/>
  <c r="X8" i="8"/>
  <c r="W8" i="23" s="1"/>
  <c r="W60" i="23" s="1"/>
  <c r="O5" i="8"/>
  <c r="O5" i="23" s="1"/>
  <c r="O57" i="23" s="1"/>
  <c r="O11" i="8"/>
  <c r="O11" i="23" s="1"/>
  <c r="O63" i="23" s="1"/>
  <c r="O22" i="8"/>
  <c r="O22" i="23" s="1"/>
  <c r="O74" i="23" s="1"/>
  <c r="O46" i="8"/>
  <c r="O46" i="23" s="1"/>
  <c r="O98" i="23" s="1"/>
  <c r="O50" i="8"/>
  <c r="O50" i="23" s="1"/>
  <c r="O102" i="23" s="1"/>
  <c r="O35" i="8"/>
  <c r="O35" i="23" s="1"/>
  <c r="O87" i="23" s="1"/>
  <c r="S43" i="11"/>
  <c r="X40" i="8"/>
  <c r="W40" i="23" s="1"/>
  <c r="W92" i="23" s="1"/>
  <c r="X31" i="8"/>
  <c r="W31" i="23" s="1"/>
  <c r="W83" i="23" s="1"/>
  <c r="X12" i="8"/>
  <c r="W12" i="23" s="1"/>
  <c r="W64" i="23" s="1"/>
  <c r="W35" i="8"/>
  <c r="V35" i="23" s="1"/>
  <c r="V87" i="23" s="1"/>
  <c r="W11" i="8"/>
  <c r="V11" i="23" s="1"/>
  <c r="V63" i="23" s="1"/>
  <c r="AH8" i="8"/>
  <c r="AD8" i="23" s="1"/>
  <c r="AD60" i="23" s="1"/>
  <c r="M12" i="9"/>
  <c r="AI5" i="8"/>
  <c r="AE5" i="23" s="1"/>
  <c r="AE57" i="23" s="1"/>
  <c r="M50" i="9"/>
  <c r="X32" i="8"/>
  <c r="W32" i="23" s="1"/>
  <c r="W84" i="23" s="1"/>
  <c r="X47" i="8"/>
  <c r="W47" i="23" s="1"/>
  <c r="W99" i="23" s="1"/>
  <c r="X53" i="9"/>
  <c r="W48" i="8"/>
  <c r="V48" i="23" s="1"/>
  <c r="V100" i="23" s="1"/>
  <c r="W44" i="8"/>
  <c r="V44" i="23" s="1"/>
  <c r="V96" i="23" s="1"/>
  <c r="W33" i="8"/>
  <c r="V33" i="23" s="1"/>
  <c r="V85" i="23" s="1"/>
  <c r="W5" i="8"/>
  <c r="V5" i="23" s="1"/>
  <c r="V57" i="23" s="1"/>
  <c r="W21" i="8"/>
  <c r="V21" i="23" s="1"/>
  <c r="V73" i="23" s="1"/>
  <c r="AC15" i="8"/>
  <c r="AC35" i="8"/>
  <c r="M30" i="9"/>
  <c r="M47" i="9"/>
  <c r="AI38" i="8"/>
  <c r="AE38" i="23" s="1"/>
  <c r="AE90" i="23" s="1"/>
  <c r="V35" i="12"/>
  <c r="V35" i="13"/>
  <c r="V37" i="12"/>
  <c r="V37" i="13"/>
  <c r="V38" i="12"/>
  <c r="V38" i="13"/>
  <c r="V13" i="12"/>
  <c r="V13" i="13"/>
  <c r="V24" i="12"/>
  <c r="V24" i="13"/>
  <c r="V14" i="12"/>
  <c r="V14" i="13"/>
  <c r="V23" i="12"/>
  <c r="V23" i="13"/>
  <c r="V10" i="12"/>
  <c r="V10" i="13"/>
  <c r="V7" i="12"/>
  <c r="V7" i="13"/>
  <c r="O13" i="8"/>
  <c r="O13" i="23" s="1"/>
  <c r="O65" i="23" s="1"/>
  <c r="O20" i="8"/>
  <c r="O20" i="23" s="1"/>
  <c r="O72" i="23" s="1"/>
  <c r="O24" i="8"/>
  <c r="O24" i="23" s="1"/>
  <c r="O76" i="23" s="1"/>
  <c r="O21" i="8"/>
  <c r="O21" i="23" s="1"/>
  <c r="O73" i="23" s="1"/>
  <c r="O26" i="8"/>
  <c r="O26" i="23" s="1"/>
  <c r="O78" i="23" s="1"/>
  <c r="O44" i="8"/>
  <c r="O44" i="23" s="1"/>
  <c r="O96" i="23" s="1"/>
  <c r="X46" i="8"/>
  <c r="W46" i="23" s="1"/>
  <c r="W98" i="23" s="1"/>
  <c r="X42" i="8"/>
  <c r="W42" i="23" s="1"/>
  <c r="W94" i="23" s="1"/>
  <c r="X18" i="8"/>
  <c r="W18" i="23" s="1"/>
  <c r="W70" i="23" s="1"/>
  <c r="X24" i="8"/>
  <c r="W24" i="23" s="1"/>
  <c r="W76" i="23" s="1"/>
  <c r="X17" i="8"/>
  <c r="W17" i="23" s="1"/>
  <c r="W69" i="23" s="1"/>
  <c r="W28" i="8"/>
  <c r="V28" i="23" s="1"/>
  <c r="V80" i="23" s="1"/>
  <c r="AD53" i="7"/>
  <c r="AC10" i="8"/>
  <c r="AC46" i="8"/>
  <c r="AC37" i="8"/>
  <c r="AC21" i="8"/>
  <c r="M48" i="9"/>
  <c r="Q8" i="8"/>
  <c r="Q8" i="23" s="1"/>
  <c r="Q60" i="23" s="1"/>
  <c r="M7" i="9"/>
  <c r="U34" i="8"/>
  <c r="T34" i="23" s="1"/>
  <c r="T86" i="23" s="1"/>
  <c r="U14" i="8"/>
  <c r="T14" i="23" s="1"/>
  <c r="T66" i="23" s="1"/>
  <c r="AH17" i="8"/>
  <c r="AD17" i="23" s="1"/>
  <c r="AD69" i="23" s="1"/>
  <c r="AH20" i="8"/>
  <c r="AD20" i="23" s="1"/>
  <c r="AD72" i="23" s="1"/>
  <c r="AH7" i="8"/>
  <c r="AD7" i="23" s="1"/>
  <c r="AD59" i="23" s="1"/>
  <c r="AH39" i="8"/>
  <c r="AD39" i="23" s="1"/>
  <c r="AD91" i="23" s="1"/>
  <c r="AH47" i="8"/>
  <c r="AD47" i="23" s="1"/>
  <c r="AD99" i="23" s="1"/>
  <c r="AH23" i="8"/>
  <c r="AD23" i="23" s="1"/>
  <c r="AD75" i="23" s="1"/>
  <c r="S58" i="7"/>
  <c r="R58" i="7"/>
  <c r="O41" i="12"/>
  <c r="O41" i="13"/>
  <c r="O31" i="12"/>
  <c r="O31" i="13"/>
  <c r="O17" i="12"/>
  <c r="O17" i="13"/>
  <c r="O24" i="12"/>
  <c r="O24" i="13"/>
  <c r="O12" i="12"/>
  <c r="O12" i="13"/>
  <c r="O39" i="12"/>
  <c r="O39" i="13"/>
  <c r="O16" i="12"/>
  <c r="O16" i="13"/>
  <c r="O5" i="12"/>
  <c r="O5" i="13"/>
  <c r="O43" i="11"/>
  <c r="O9" i="12"/>
  <c r="O9" i="13"/>
  <c r="N40" i="12"/>
  <c r="N40" i="13"/>
  <c r="N30" i="12"/>
  <c r="N30" i="13"/>
  <c r="N31" i="12"/>
  <c r="N31" i="13"/>
  <c r="N33" i="12"/>
  <c r="N33" i="13"/>
  <c r="N19" i="12"/>
  <c r="N19" i="13"/>
  <c r="N12" i="12"/>
  <c r="N12" i="13"/>
  <c r="N20" i="12"/>
  <c r="N20" i="13"/>
  <c r="N41" i="12"/>
  <c r="N41" i="13"/>
  <c r="N7" i="12"/>
  <c r="N7" i="13"/>
  <c r="N15" i="12"/>
  <c r="N15" i="13"/>
  <c r="P31" i="12"/>
  <c r="P31" i="13"/>
  <c r="P17" i="12"/>
  <c r="P17" i="13"/>
  <c r="P27" i="12"/>
  <c r="P27" i="13"/>
  <c r="P41" i="12"/>
  <c r="P41" i="13"/>
  <c r="P39" i="12"/>
  <c r="P39" i="13"/>
  <c r="P21" i="12"/>
  <c r="P21" i="13"/>
  <c r="P19" i="12"/>
  <c r="P19" i="13"/>
  <c r="P5" i="12"/>
  <c r="P5" i="13"/>
  <c r="P43" i="11"/>
  <c r="P10" i="12"/>
  <c r="P10" i="13"/>
  <c r="V14" i="9"/>
  <c r="V5" i="9"/>
  <c r="V53" i="7"/>
  <c r="V58" i="7" s="1"/>
  <c r="V14" i="8" s="1"/>
  <c r="V23" i="9"/>
  <c r="V8" i="9"/>
  <c r="V22" i="9"/>
  <c r="V15" i="9"/>
  <c r="V29" i="9"/>
  <c r="V43" i="9"/>
  <c r="V48" i="9"/>
  <c r="V38" i="9"/>
  <c r="V34" i="9"/>
  <c r="V49" i="9"/>
  <c r="M6" i="9"/>
  <c r="M16" i="9"/>
  <c r="L26" i="8"/>
  <c r="L26" i="23" s="1"/>
  <c r="L78" i="23" s="1"/>
  <c r="L28" i="8"/>
  <c r="L28" i="23" s="1"/>
  <c r="L80" i="23" s="1"/>
  <c r="L30" i="8"/>
  <c r="L30" i="23" s="1"/>
  <c r="L82" i="23" s="1"/>
  <c r="L46" i="8"/>
  <c r="L46" i="23" s="1"/>
  <c r="L98" i="23" s="1"/>
  <c r="L34" i="8"/>
  <c r="L34" i="23" s="1"/>
  <c r="L86" i="23" s="1"/>
  <c r="L36" i="8"/>
  <c r="L36" i="23" s="1"/>
  <c r="L88" i="23" s="1"/>
  <c r="O10" i="8"/>
  <c r="O10" i="23" s="1"/>
  <c r="O62" i="23" s="1"/>
  <c r="O16" i="8"/>
  <c r="O16" i="23" s="1"/>
  <c r="O68" i="23" s="1"/>
  <c r="O36" i="8"/>
  <c r="O36" i="23" s="1"/>
  <c r="O88" i="23" s="1"/>
  <c r="O40" i="8"/>
  <c r="O40" i="23" s="1"/>
  <c r="O92" i="23" s="1"/>
  <c r="O48" i="8"/>
  <c r="O48" i="23" s="1"/>
  <c r="O100" i="23" s="1"/>
  <c r="O45" i="8"/>
  <c r="O45" i="23" s="1"/>
  <c r="O97" i="23" s="1"/>
  <c r="P14" i="8"/>
  <c r="P14" i="23" s="1"/>
  <c r="P66" i="23" s="1"/>
  <c r="P11" i="8"/>
  <c r="P11" i="23" s="1"/>
  <c r="P63" i="23" s="1"/>
  <c r="P23" i="8"/>
  <c r="X43" i="8"/>
  <c r="W43" i="23" s="1"/>
  <c r="W95" i="23" s="1"/>
  <c r="X11" i="8"/>
  <c r="W11" i="23" s="1"/>
  <c r="W63" i="23" s="1"/>
  <c r="W31" i="8"/>
  <c r="V31" i="23" s="1"/>
  <c r="V83" i="23" s="1"/>
  <c r="W46" i="8"/>
  <c r="V46" i="23" s="1"/>
  <c r="V98" i="23" s="1"/>
  <c r="W40" i="8"/>
  <c r="V40" i="23" s="1"/>
  <c r="V92" i="23" s="1"/>
  <c r="W8" i="8"/>
  <c r="V8" i="23" s="1"/>
  <c r="V60" i="23" s="1"/>
  <c r="W24" i="8"/>
  <c r="V24" i="23" s="1"/>
  <c r="V76" i="23" s="1"/>
  <c r="W15" i="8"/>
  <c r="V15" i="23" s="1"/>
  <c r="V67" i="23" s="1"/>
  <c r="AC18" i="8"/>
  <c r="AC24" i="8"/>
  <c r="Q27" i="8"/>
  <c r="Q27" i="23" s="1"/>
  <c r="Q79" i="23" s="1"/>
  <c r="Q23" i="8"/>
  <c r="Q23" i="23" s="1"/>
  <c r="Q75" i="23" s="1"/>
  <c r="Q6" i="8"/>
  <c r="Q6" i="23" s="1"/>
  <c r="Q58" i="23" s="1"/>
  <c r="Q37" i="8"/>
  <c r="Q37" i="23" s="1"/>
  <c r="Q89" i="23" s="1"/>
  <c r="Q19" i="8"/>
  <c r="Q19" i="23" s="1"/>
  <c r="Q71" i="23" s="1"/>
  <c r="Q35" i="8"/>
  <c r="Q35" i="23" s="1"/>
  <c r="Q87" i="23" s="1"/>
  <c r="U40" i="8"/>
  <c r="T40" i="23" s="1"/>
  <c r="T92" i="23" s="1"/>
  <c r="M46" i="9"/>
  <c r="AH9" i="8"/>
  <c r="AD9" i="23" s="1"/>
  <c r="AD61" i="23" s="1"/>
  <c r="AH16" i="8"/>
  <c r="AD16" i="23" s="1"/>
  <c r="AD68" i="23" s="1"/>
  <c r="AH37" i="8"/>
  <c r="AD37" i="23" s="1"/>
  <c r="AD89" i="23" s="1"/>
  <c r="AH41" i="8"/>
  <c r="AD41" i="23" s="1"/>
  <c r="AD93" i="23" s="1"/>
  <c r="AH31" i="8"/>
  <c r="AD31" i="23" s="1"/>
  <c r="AD83" i="23" s="1"/>
  <c r="AH42" i="8"/>
  <c r="AD42" i="23" s="1"/>
  <c r="AD94" i="23" s="1"/>
  <c r="T39" i="12"/>
  <c r="T39" i="13"/>
  <c r="T30" i="12"/>
  <c r="T30" i="13"/>
  <c r="T19" i="12"/>
  <c r="T19" i="13"/>
  <c r="T21" i="12"/>
  <c r="T21" i="13"/>
  <c r="T14" i="12"/>
  <c r="T14" i="13"/>
  <c r="W14" i="11"/>
  <c r="T33" i="12"/>
  <c r="T33" i="13"/>
  <c r="T18" i="12"/>
  <c r="T18" i="13"/>
  <c r="T5" i="12"/>
  <c r="T5" i="13"/>
  <c r="T43" i="11"/>
  <c r="T9" i="12"/>
  <c r="T9" i="13"/>
  <c r="U43" i="13"/>
  <c r="AA41" i="11"/>
  <c r="Z41" i="12"/>
  <c r="AA41" i="12" s="1"/>
  <c r="Z41" i="13"/>
  <c r="AA41" i="13" s="1"/>
  <c r="AA37" i="11"/>
  <c r="Z37" i="12"/>
  <c r="AA37" i="12" s="1"/>
  <c r="Z37" i="13"/>
  <c r="AA37" i="13" s="1"/>
  <c r="AA17" i="11"/>
  <c r="Z17" i="12"/>
  <c r="AA17" i="12" s="1"/>
  <c r="Z17" i="13"/>
  <c r="AA17" i="13" s="1"/>
  <c r="AA33" i="11"/>
  <c r="Z33" i="12"/>
  <c r="AA33" i="12" s="1"/>
  <c r="Z33" i="13"/>
  <c r="AA33" i="13" s="1"/>
  <c r="AA36" i="11"/>
  <c r="Z36" i="12"/>
  <c r="AA36" i="12" s="1"/>
  <c r="Z36" i="13"/>
  <c r="AA36" i="13" s="1"/>
  <c r="AA23" i="11"/>
  <c r="Z23" i="12"/>
  <c r="AA23" i="12" s="1"/>
  <c r="Z23" i="13"/>
  <c r="AA23" i="13" s="1"/>
  <c r="AA38" i="11"/>
  <c r="Z38" i="12"/>
  <c r="AA38" i="12" s="1"/>
  <c r="Z38" i="13"/>
  <c r="AA38" i="13" s="1"/>
  <c r="AA5" i="11"/>
  <c r="Z5" i="12"/>
  <c r="Z5" i="13"/>
  <c r="Z43" i="11"/>
  <c r="AA9" i="11"/>
  <c r="Z9" i="12"/>
  <c r="AA9" i="12" s="1"/>
  <c r="Z9" i="13"/>
  <c r="AA9" i="13" s="1"/>
  <c r="Y40" i="9"/>
  <c r="Y30" i="9"/>
  <c r="Y23" i="9"/>
  <c r="Y50" i="9"/>
  <c r="Y32" i="9"/>
  <c r="Y46" i="9"/>
  <c r="Y28" i="9"/>
  <c r="Y9" i="9"/>
  <c r="Y8" i="9"/>
  <c r="Y7" i="9"/>
  <c r="Y6" i="9"/>
  <c r="D46" i="5"/>
  <c r="Q44" i="13"/>
  <c r="Q44" i="10"/>
  <c r="Q44" i="12"/>
  <c r="Q44" i="11"/>
  <c r="N54" i="9"/>
  <c r="N54" i="8"/>
  <c r="N58" i="8" s="1"/>
  <c r="N54" i="7"/>
  <c r="M29" i="9"/>
  <c r="M11" i="9"/>
  <c r="S5" i="12"/>
  <c r="R43" i="12"/>
  <c r="M35" i="9"/>
  <c r="M32" i="9"/>
  <c r="M41" i="9"/>
  <c r="AH14" i="8"/>
  <c r="AD14" i="23" s="1"/>
  <c r="AD66" i="23" s="1"/>
  <c r="AH36" i="8"/>
  <c r="AD36" i="23" s="1"/>
  <c r="AD88" i="23" s="1"/>
  <c r="AH40" i="8"/>
  <c r="AD40" i="23" s="1"/>
  <c r="AD92" i="23" s="1"/>
  <c r="AH28" i="8"/>
  <c r="AD28" i="23" s="1"/>
  <c r="AD80" i="23" s="1"/>
  <c r="AH32" i="8"/>
  <c r="AD32" i="23" s="1"/>
  <c r="AD84" i="23" s="1"/>
  <c r="AI25" i="8"/>
  <c r="AE25" i="23" s="1"/>
  <c r="AE77" i="23" s="1"/>
  <c r="O18" i="8"/>
  <c r="O18" i="23" s="1"/>
  <c r="O70" i="23" s="1"/>
  <c r="O25" i="8"/>
  <c r="O25" i="23" s="1"/>
  <c r="O77" i="23" s="1"/>
  <c r="O8" i="8"/>
  <c r="O8" i="23" s="1"/>
  <c r="O60" i="23" s="1"/>
  <c r="O37" i="8"/>
  <c r="O37" i="23" s="1"/>
  <c r="O89" i="23" s="1"/>
  <c r="O41" i="8"/>
  <c r="O41" i="23" s="1"/>
  <c r="O93" i="23" s="1"/>
  <c r="O30" i="8"/>
  <c r="O30" i="23" s="1"/>
  <c r="O82" i="23" s="1"/>
  <c r="X23" i="8"/>
  <c r="W23" i="23" s="1"/>
  <c r="W75" i="23" s="1"/>
  <c r="X5" i="8"/>
  <c r="W5" i="23" s="1"/>
  <c r="W57" i="23" s="1"/>
  <c r="X10" i="8"/>
  <c r="W10" i="23" s="1"/>
  <c r="W62" i="23" s="1"/>
  <c r="X22" i="8"/>
  <c r="W22" i="23" s="1"/>
  <c r="W74" i="23" s="1"/>
  <c r="W23" i="8"/>
  <c r="V23" i="23" s="1"/>
  <c r="V75" i="23" s="1"/>
  <c r="M24" i="9"/>
  <c r="AH25" i="8"/>
  <c r="AD25" i="23" s="1"/>
  <c r="AD77" i="23" s="1"/>
  <c r="AH11" i="8"/>
  <c r="AD11" i="23" s="1"/>
  <c r="AD63" i="23" s="1"/>
  <c r="AH46" i="8"/>
  <c r="AD46" i="23" s="1"/>
  <c r="AD98" i="23" s="1"/>
  <c r="AH50" i="8"/>
  <c r="AD50" i="23" s="1"/>
  <c r="AD102" i="23" s="1"/>
  <c r="AH22" i="8"/>
  <c r="AD22" i="23" s="1"/>
  <c r="AD74" i="23" s="1"/>
  <c r="M36" i="9"/>
  <c r="AI21" i="8"/>
  <c r="AE21" i="23" s="1"/>
  <c r="AE73" i="23" s="1"/>
  <c r="AI18" i="8"/>
  <c r="AE18" i="23" s="1"/>
  <c r="AE70" i="23" s="1"/>
  <c r="AI6" i="8"/>
  <c r="AE6" i="23" s="1"/>
  <c r="AE58" i="23" s="1"/>
  <c r="AI30" i="8"/>
  <c r="AE30" i="23" s="1"/>
  <c r="AE82" i="23" s="1"/>
  <c r="V26" i="12"/>
  <c r="V26" i="13"/>
  <c r="V21" i="12"/>
  <c r="V21" i="13"/>
  <c r="V22" i="12"/>
  <c r="V22" i="13"/>
  <c r="V12" i="12"/>
  <c r="V12" i="13"/>
  <c r="V27" i="12"/>
  <c r="V27" i="13"/>
  <c r="V29" i="12"/>
  <c r="V29" i="13"/>
  <c r="V30" i="12"/>
  <c r="V30" i="13"/>
  <c r="V18" i="12"/>
  <c r="V18" i="13"/>
  <c r="V8" i="12"/>
  <c r="V8" i="13"/>
  <c r="X15" i="8"/>
  <c r="W15" i="23" s="1"/>
  <c r="W67" i="23" s="1"/>
  <c r="M17" i="9"/>
  <c r="W45" i="8"/>
  <c r="V45" i="23" s="1"/>
  <c r="V97" i="23" s="1"/>
  <c r="W26" i="8"/>
  <c r="V26" i="23" s="1"/>
  <c r="V78" i="23" s="1"/>
  <c r="W12" i="8"/>
  <c r="V12" i="23" s="1"/>
  <c r="V64" i="23" s="1"/>
  <c r="W27" i="8"/>
  <c r="V27" i="23" s="1"/>
  <c r="V79" i="23" s="1"/>
  <c r="W20" i="8"/>
  <c r="V20" i="23" s="1"/>
  <c r="V72" i="23" s="1"/>
  <c r="AC25" i="8"/>
  <c r="AC5" i="8"/>
  <c r="AA5" i="23" s="1"/>
  <c r="AA57" i="23" s="1"/>
  <c r="AC47" i="8"/>
  <c r="Q10" i="8"/>
  <c r="Q10" i="23" s="1"/>
  <c r="Q62" i="23" s="1"/>
  <c r="Q40" i="8"/>
  <c r="Q40" i="23" s="1"/>
  <c r="Q92" i="23" s="1"/>
  <c r="Q18" i="8"/>
  <c r="Q18" i="23" s="1"/>
  <c r="Q70" i="23" s="1"/>
  <c r="Q30" i="8"/>
  <c r="Q30" i="23" s="1"/>
  <c r="Q82" i="23" s="1"/>
  <c r="M20" i="9"/>
  <c r="U49" i="8"/>
  <c r="T49" i="23" s="1"/>
  <c r="T101" i="23" s="1"/>
  <c r="U32" i="8"/>
  <c r="T32" i="23" s="1"/>
  <c r="T84" i="23" s="1"/>
  <c r="U7" i="8"/>
  <c r="T7" i="23" s="1"/>
  <c r="T59" i="23" s="1"/>
  <c r="U12" i="8"/>
  <c r="T12" i="23" s="1"/>
  <c r="T64" i="23" s="1"/>
  <c r="M22" i="9"/>
  <c r="M28" i="9"/>
  <c r="O11" i="12"/>
  <c r="O11" i="13"/>
  <c r="O14" i="12"/>
  <c r="O14" i="13"/>
  <c r="O40" i="12"/>
  <c r="O40" i="13"/>
  <c r="O27" i="12"/>
  <c r="O27" i="13"/>
  <c r="O20" i="12"/>
  <c r="O20" i="13"/>
  <c r="O23" i="12"/>
  <c r="O23" i="13"/>
  <c r="O29" i="12"/>
  <c r="O29" i="13"/>
  <c r="O6" i="12"/>
  <c r="O6" i="13"/>
  <c r="O10" i="12"/>
  <c r="O10" i="13"/>
  <c r="AI29" i="8"/>
  <c r="AE29" i="23" s="1"/>
  <c r="AE81" i="23" s="1"/>
  <c r="W7" i="11"/>
  <c r="AI50" i="8"/>
  <c r="AE50" i="23" s="1"/>
  <c r="AE102" i="23" s="1"/>
  <c r="W35" i="11"/>
  <c r="AI19" i="8"/>
  <c r="AE19" i="23" s="1"/>
  <c r="AE71" i="23" s="1"/>
  <c r="AI17" i="8"/>
  <c r="AE17" i="23" s="1"/>
  <c r="AE69" i="23" s="1"/>
  <c r="N35" i="12"/>
  <c r="N35" i="13"/>
  <c r="N13" i="12"/>
  <c r="N13" i="13"/>
  <c r="N28" i="12"/>
  <c r="N28" i="13"/>
  <c r="N17" i="12"/>
  <c r="N17" i="13"/>
  <c r="N38" i="12"/>
  <c r="N38" i="13"/>
  <c r="N39" i="12"/>
  <c r="N39" i="13"/>
  <c r="N14" i="12"/>
  <c r="N14" i="13"/>
  <c r="N25" i="12"/>
  <c r="N25" i="13"/>
  <c r="N8" i="12"/>
  <c r="N8" i="13"/>
  <c r="P33" i="12"/>
  <c r="P33" i="13"/>
  <c r="P14" i="12"/>
  <c r="P14" i="13"/>
  <c r="P29" i="12"/>
  <c r="P29" i="13"/>
  <c r="P30" i="12"/>
  <c r="P30" i="13"/>
  <c r="P25" i="12"/>
  <c r="P25" i="13"/>
  <c r="P23" i="12"/>
  <c r="P23" i="13"/>
  <c r="P40" i="12"/>
  <c r="P40" i="13"/>
  <c r="P38" i="12"/>
  <c r="P38" i="13"/>
  <c r="P6" i="12"/>
  <c r="P6" i="13"/>
  <c r="P15" i="12"/>
  <c r="P15" i="13"/>
  <c r="V19" i="8"/>
  <c r="V19" i="9"/>
  <c r="V9" i="8"/>
  <c r="V9" i="9"/>
  <c r="V32" i="8"/>
  <c r="V32" i="9"/>
  <c r="AB32" i="9" s="1"/>
  <c r="V12" i="8"/>
  <c r="V12" i="9"/>
  <c r="V26" i="8"/>
  <c r="V26" i="9"/>
  <c r="V20" i="8"/>
  <c r="V20" i="9"/>
  <c r="V33" i="8"/>
  <c r="V33" i="9"/>
  <c r="V46" i="8"/>
  <c r="V46" i="9"/>
  <c r="V50" i="8"/>
  <c r="V50" i="9"/>
  <c r="V42" i="8"/>
  <c r="V42" i="9"/>
  <c r="V37" i="8"/>
  <c r="V37" i="9"/>
  <c r="M25" i="9"/>
  <c r="M10" i="9"/>
  <c r="M34" i="9"/>
  <c r="P49" i="8"/>
  <c r="P49" i="23" s="1"/>
  <c r="P101" i="23" s="1"/>
  <c r="P51" i="8"/>
  <c r="P51" i="23" s="1"/>
  <c r="P103" i="23" s="1"/>
  <c r="P45" i="8"/>
  <c r="P45" i="23" s="1"/>
  <c r="P97" i="23" s="1"/>
  <c r="X39" i="8"/>
  <c r="W39" i="23" s="1"/>
  <c r="W91" i="23" s="1"/>
  <c r="X38" i="8"/>
  <c r="W38" i="23" s="1"/>
  <c r="W90" i="23" s="1"/>
  <c r="X13" i="8"/>
  <c r="W13" i="23" s="1"/>
  <c r="W65" i="23" s="1"/>
  <c r="X28" i="8"/>
  <c r="W28" i="23" s="1"/>
  <c r="W80" i="23" s="1"/>
  <c r="W51" i="8"/>
  <c r="V51" i="23" s="1"/>
  <c r="V103" i="23" s="1"/>
  <c r="M43" i="9"/>
  <c r="AC7" i="8"/>
  <c r="AC43" i="8"/>
  <c r="AC36" i="8"/>
  <c r="U50" i="8"/>
  <c r="T50" i="23" s="1"/>
  <c r="T102" i="23" s="1"/>
  <c r="U45" i="8"/>
  <c r="T45" i="23" s="1"/>
  <c r="T97" i="23" s="1"/>
  <c r="U20" i="8"/>
  <c r="T20" i="23" s="1"/>
  <c r="T72" i="23" s="1"/>
  <c r="U8" i="8"/>
  <c r="T8" i="23" s="1"/>
  <c r="T60" i="23" s="1"/>
  <c r="M31" i="9"/>
  <c r="AI36" i="8"/>
  <c r="AE36" i="23" s="1"/>
  <c r="AE88" i="23" s="1"/>
  <c r="AI34" i="8"/>
  <c r="AE34" i="23" s="1"/>
  <c r="AE86" i="23" s="1"/>
  <c r="W23" i="11"/>
  <c r="AI14" i="8"/>
  <c r="AE14" i="23" s="1"/>
  <c r="AE66" i="23" s="1"/>
  <c r="AI12" i="8"/>
  <c r="AE12" i="23" s="1"/>
  <c r="AE64" i="23" s="1"/>
  <c r="T23" i="12"/>
  <c r="W23" i="12" s="1"/>
  <c r="T23" i="13"/>
  <c r="W23" i="13" s="1"/>
  <c r="T25" i="12"/>
  <c r="T25" i="13"/>
  <c r="T36" i="12"/>
  <c r="T36" i="13"/>
  <c r="T41" i="12"/>
  <c r="T41" i="13"/>
  <c r="T32" i="12"/>
  <c r="T32" i="13"/>
  <c r="T17" i="12"/>
  <c r="T17" i="13"/>
  <c r="T28" i="12"/>
  <c r="T28" i="13"/>
  <c r="T6" i="12"/>
  <c r="T6" i="13"/>
  <c r="T10" i="12"/>
  <c r="T10" i="13"/>
  <c r="U43" i="12"/>
  <c r="AI35" i="8"/>
  <c r="AE35" i="23" s="1"/>
  <c r="AE87" i="23" s="1"/>
  <c r="W32" i="11"/>
  <c r="AI11" i="8"/>
  <c r="AE11" i="23" s="1"/>
  <c r="AE63" i="23" s="1"/>
  <c r="AA28" i="11"/>
  <c r="Z28" i="12"/>
  <c r="AA28" i="12" s="1"/>
  <c r="Z28" i="13"/>
  <c r="AA28" i="13" s="1"/>
  <c r="AA21" i="11"/>
  <c r="Z21" i="12"/>
  <c r="AA21" i="12" s="1"/>
  <c r="Z21" i="13"/>
  <c r="AA21" i="13" s="1"/>
  <c r="AA40" i="11"/>
  <c r="Z40" i="12"/>
  <c r="AA40" i="12" s="1"/>
  <c r="Z40" i="13"/>
  <c r="AA40" i="13" s="1"/>
  <c r="AA27" i="11"/>
  <c r="Z27" i="12"/>
  <c r="AA27" i="12" s="1"/>
  <c r="Z27" i="13"/>
  <c r="AA27" i="13" s="1"/>
  <c r="AA20" i="11"/>
  <c r="Z20" i="12"/>
  <c r="AA20" i="12" s="1"/>
  <c r="Z20" i="13"/>
  <c r="AA20" i="13" s="1"/>
  <c r="AA19" i="11"/>
  <c r="Z19" i="12"/>
  <c r="AA19" i="12" s="1"/>
  <c r="Z19" i="13"/>
  <c r="AA19" i="13" s="1"/>
  <c r="AA22" i="11"/>
  <c r="Z22" i="12"/>
  <c r="AA22" i="12" s="1"/>
  <c r="Z22" i="13"/>
  <c r="AA22" i="13" s="1"/>
  <c r="AA6" i="11"/>
  <c r="Z6" i="12"/>
  <c r="AA6" i="12" s="1"/>
  <c r="Z6" i="13"/>
  <c r="AA6" i="13" s="1"/>
  <c r="AA10" i="11"/>
  <c r="Z10" i="12"/>
  <c r="AA10" i="12" s="1"/>
  <c r="Z10" i="13"/>
  <c r="AA10" i="13" s="1"/>
  <c r="Y43" i="9"/>
  <c r="Y24" i="9"/>
  <c r="Y41" i="9"/>
  <c r="Y27" i="9"/>
  <c r="Y26" i="9"/>
  <c r="Y38" i="9"/>
  <c r="Y49" i="9"/>
  <c r="Y21" i="9"/>
  <c r="Y13" i="9"/>
  <c r="Y12" i="9"/>
  <c r="Y10" i="9"/>
  <c r="O6" i="8"/>
  <c r="O6" i="23" s="1"/>
  <c r="O58" i="23" s="1"/>
  <c r="O12" i="8"/>
  <c r="O12" i="23" s="1"/>
  <c r="O64" i="23" s="1"/>
  <c r="O49" i="8"/>
  <c r="O49" i="23" s="1"/>
  <c r="O101" i="23" s="1"/>
  <c r="O29" i="8"/>
  <c r="O29" i="23" s="1"/>
  <c r="O81" i="23" s="1"/>
  <c r="O33" i="8"/>
  <c r="O33" i="23" s="1"/>
  <c r="O85" i="23" s="1"/>
  <c r="M26" i="9"/>
  <c r="AB38" i="9"/>
  <c r="M38" i="9"/>
  <c r="AH53" i="9"/>
  <c r="M19" i="9"/>
  <c r="AI23" i="8"/>
  <c r="AE23" i="23" s="1"/>
  <c r="AE75" i="23" s="1"/>
  <c r="AI8" i="8"/>
  <c r="AE8" i="23" s="1"/>
  <c r="AE60" i="23" s="1"/>
  <c r="X48" i="8"/>
  <c r="W48" i="23" s="1"/>
  <c r="W100" i="23" s="1"/>
  <c r="X36" i="8"/>
  <c r="W36" i="23" s="1"/>
  <c r="W88" i="23" s="1"/>
  <c r="X27" i="8"/>
  <c r="W27" i="23" s="1"/>
  <c r="W79" i="23" s="1"/>
  <c r="W42" i="8"/>
  <c r="V42" i="23" s="1"/>
  <c r="V94" i="23" s="1"/>
  <c r="W32" i="8"/>
  <c r="V32" i="23" s="1"/>
  <c r="V84" i="23" s="1"/>
  <c r="W30" i="8"/>
  <c r="V30" i="23" s="1"/>
  <c r="V82" i="23" s="1"/>
  <c r="W53" i="9"/>
  <c r="W14" i="8"/>
  <c r="V14" i="23" s="1"/>
  <c r="V66" i="23" s="1"/>
  <c r="W7" i="8"/>
  <c r="V7" i="23" s="1"/>
  <c r="V59" i="23" s="1"/>
  <c r="M18" i="9"/>
  <c r="U53" i="9"/>
  <c r="AI53" i="9"/>
  <c r="V25" i="12"/>
  <c r="V25" i="13"/>
  <c r="V20" i="12"/>
  <c r="V20" i="13"/>
  <c r="V28" i="12"/>
  <c r="V28" i="13"/>
  <c r="V16" i="12"/>
  <c r="V16" i="13"/>
  <c r="V33" i="12"/>
  <c r="V33" i="13"/>
  <c r="V34" i="12"/>
  <c r="V34" i="13"/>
  <c r="V36" i="12"/>
  <c r="V36" i="13"/>
  <c r="V41" i="12"/>
  <c r="V41" i="13"/>
  <c r="V5" i="12"/>
  <c r="V5" i="13"/>
  <c r="V43" i="11"/>
  <c r="V15" i="12"/>
  <c r="T15" i="24" s="1"/>
  <c r="T57" i="24" s="1"/>
  <c r="V15" i="13"/>
  <c r="L47" i="10"/>
  <c r="L47" i="12" s="1"/>
  <c r="M21" i="9"/>
  <c r="M45" i="9"/>
  <c r="O14" i="8"/>
  <c r="O14" i="23" s="1"/>
  <c r="O66" i="23" s="1"/>
  <c r="O17" i="8"/>
  <c r="O17" i="23" s="1"/>
  <c r="O69" i="23" s="1"/>
  <c r="O39" i="8"/>
  <c r="O39" i="23" s="1"/>
  <c r="O91" i="23" s="1"/>
  <c r="O43" i="8"/>
  <c r="O43" i="23" s="1"/>
  <c r="O95" i="23" s="1"/>
  <c r="O47" i="8"/>
  <c r="O47" i="23" s="1"/>
  <c r="O99" i="23" s="1"/>
  <c r="O32" i="8"/>
  <c r="O32" i="23" s="1"/>
  <c r="O84" i="23" s="1"/>
  <c r="X45" i="8"/>
  <c r="W45" i="23" s="1"/>
  <c r="W97" i="23" s="1"/>
  <c r="X33" i="8"/>
  <c r="W33" i="23" s="1"/>
  <c r="W85" i="23" s="1"/>
  <c r="X44" i="8"/>
  <c r="W44" i="23" s="1"/>
  <c r="W96" i="23" s="1"/>
  <c r="X41" i="8"/>
  <c r="W41" i="23" s="1"/>
  <c r="W93" i="23" s="1"/>
  <c r="W41" i="8"/>
  <c r="V41" i="23" s="1"/>
  <c r="V93" i="23" s="1"/>
  <c r="M51" i="9"/>
  <c r="AD5" i="9"/>
  <c r="AC53" i="9"/>
  <c r="AC8" i="8"/>
  <c r="AC41" i="8"/>
  <c r="Q15" i="8"/>
  <c r="Q15" i="23" s="1"/>
  <c r="Q67" i="23" s="1"/>
  <c r="Q53" i="9"/>
  <c r="U48" i="8"/>
  <c r="T48" i="23" s="1"/>
  <c r="T100" i="23" s="1"/>
  <c r="M14" i="9"/>
  <c r="AH13" i="8"/>
  <c r="AD13" i="23" s="1"/>
  <c r="AD65" i="23" s="1"/>
  <c r="AH6" i="8"/>
  <c r="AD6" i="23" s="1"/>
  <c r="AD58" i="23" s="1"/>
  <c r="AH44" i="8"/>
  <c r="AD44" i="23" s="1"/>
  <c r="AD96" i="23" s="1"/>
  <c r="AH48" i="8"/>
  <c r="AD48" i="23" s="1"/>
  <c r="AD100" i="23" s="1"/>
  <c r="AH38" i="8"/>
  <c r="AD38" i="23" s="1"/>
  <c r="AD90" i="23" s="1"/>
  <c r="AH26" i="8"/>
  <c r="AD26" i="23" s="1"/>
  <c r="AD78" i="23" s="1"/>
  <c r="R53" i="9"/>
  <c r="O19" i="12"/>
  <c r="O19" i="24" s="1"/>
  <c r="O61" i="24" s="1"/>
  <c r="O19" i="13"/>
  <c r="O25" i="12"/>
  <c r="O25" i="13"/>
  <c r="O38" i="12"/>
  <c r="O38" i="24" s="1"/>
  <c r="O80" i="24" s="1"/>
  <c r="O38" i="13"/>
  <c r="O37" i="12"/>
  <c r="O37" i="13"/>
  <c r="O34" i="12"/>
  <c r="O34" i="24" s="1"/>
  <c r="O76" i="24" s="1"/>
  <c r="O34" i="13"/>
  <c r="O33" i="12"/>
  <c r="O33" i="13"/>
  <c r="O30" i="12"/>
  <c r="O30" i="24" s="1"/>
  <c r="O72" i="24" s="1"/>
  <c r="O30" i="13"/>
  <c r="O32" i="12"/>
  <c r="O32" i="13"/>
  <c r="O7" i="12"/>
  <c r="O7" i="24" s="1"/>
  <c r="O49" i="24" s="1"/>
  <c r="O7" i="13"/>
  <c r="O15" i="12"/>
  <c r="O15" i="13"/>
  <c r="W16" i="11"/>
  <c r="W30" i="11"/>
  <c r="W29" i="11"/>
  <c r="W41" i="11"/>
  <c r="N32" i="12"/>
  <c r="N32" i="24" s="1"/>
  <c r="N74" i="24" s="1"/>
  <c r="N32" i="13"/>
  <c r="N37" i="12"/>
  <c r="N37" i="13"/>
  <c r="N11" i="12"/>
  <c r="N11" i="24" s="1"/>
  <c r="N53" i="24" s="1"/>
  <c r="N11" i="13"/>
  <c r="N27" i="12"/>
  <c r="N27" i="13"/>
  <c r="N22" i="12"/>
  <c r="N22" i="24" s="1"/>
  <c r="N64" i="24" s="1"/>
  <c r="N22" i="13"/>
  <c r="N23" i="12"/>
  <c r="N23" i="13"/>
  <c r="N34" i="12"/>
  <c r="N34" i="24" s="1"/>
  <c r="N76" i="24" s="1"/>
  <c r="N34" i="13"/>
  <c r="N5" i="12"/>
  <c r="N5" i="13"/>
  <c r="N43" i="11"/>
  <c r="N9" i="12"/>
  <c r="N9" i="13"/>
  <c r="P36" i="12"/>
  <c r="P36" i="13"/>
  <c r="P34" i="12"/>
  <c r="P34" i="13"/>
  <c r="P32" i="12"/>
  <c r="P32" i="13"/>
  <c r="P13" i="12"/>
  <c r="P13" i="13"/>
  <c r="P28" i="12"/>
  <c r="P28" i="13"/>
  <c r="P26" i="12"/>
  <c r="P26" i="13"/>
  <c r="P24" i="12"/>
  <c r="P24" i="13"/>
  <c r="P22" i="12"/>
  <c r="P22" i="13"/>
  <c r="P7" i="12"/>
  <c r="P7" i="13"/>
  <c r="V6" i="8"/>
  <c r="V6" i="9"/>
  <c r="V24" i="8"/>
  <c r="V24" i="9"/>
  <c r="AB24" i="9" s="1"/>
  <c r="AB13" i="7"/>
  <c r="V13" i="8"/>
  <c r="V13" i="9"/>
  <c r="AB13" i="9" s="1"/>
  <c r="V35" i="8"/>
  <c r="V35" i="9"/>
  <c r="V16" i="8"/>
  <c r="V16" i="9"/>
  <c r="V7" i="8"/>
  <c r="V7" i="9"/>
  <c r="AB21" i="7"/>
  <c r="V21" i="8"/>
  <c r="V21" i="9"/>
  <c r="AB21" i="9" s="1"/>
  <c r="V36" i="8"/>
  <c r="V36" i="9"/>
  <c r="V51" i="8"/>
  <c r="V51" i="9"/>
  <c r="V27" i="8"/>
  <c r="V27" i="9"/>
  <c r="V47" i="8"/>
  <c r="V47" i="9"/>
  <c r="V41" i="8"/>
  <c r="V41" i="9"/>
  <c r="M13" i="9"/>
  <c r="M5" i="9"/>
  <c r="M53" i="7"/>
  <c r="M58" i="7" s="1"/>
  <c r="M37" i="8" s="1"/>
  <c r="M37" i="23" s="1"/>
  <c r="M89" i="23" s="1"/>
  <c r="L27" i="8"/>
  <c r="L27" i="23" s="1"/>
  <c r="L79" i="23" s="1"/>
  <c r="L23" i="8"/>
  <c r="L23" i="23" s="1"/>
  <c r="L75" i="23" s="1"/>
  <c r="L6" i="8"/>
  <c r="L19" i="8"/>
  <c r="L19" i="23" s="1"/>
  <c r="L71" i="23" s="1"/>
  <c r="L25" i="8"/>
  <c r="L25" i="23" s="1"/>
  <c r="L77" i="23" s="1"/>
  <c r="O9" i="8"/>
  <c r="O9" i="23" s="1"/>
  <c r="O61" i="23" s="1"/>
  <c r="O15" i="8"/>
  <c r="O15" i="23" s="1"/>
  <c r="O67" i="23" s="1"/>
  <c r="O34" i="8"/>
  <c r="O34" i="23" s="1"/>
  <c r="O86" i="23" s="1"/>
  <c r="O23" i="8"/>
  <c r="O23" i="23" s="1"/>
  <c r="O75" i="23" s="1"/>
  <c r="O28" i="8"/>
  <c r="O28" i="23" s="1"/>
  <c r="O80" i="23" s="1"/>
  <c r="O38" i="8"/>
  <c r="O38" i="23" s="1"/>
  <c r="O90" i="23" s="1"/>
  <c r="P26" i="8"/>
  <c r="P25" i="8"/>
  <c r="P25" i="23" s="1"/>
  <c r="P77" i="23" s="1"/>
  <c r="P53" i="9"/>
  <c r="X29" i="8"/>
  <c r="W29" i="23" s="1"/>
  <c r="W81" i="23" s="1"/>
  <c r="X19" i="8"/>
  <c r="W19" i="23" s="1"/>
  <c r="W71" i="23" s="1"/>
  <c r="AB51" i="7"/>
  <c r="W39" i="8"/>
  <c r="V39" i="23" s="1"/>
  <c r="V91" i="23" s="1"/>
  <c r="W37" i="8"/>
  <c r="V37" i="23" s="1"/>
  <c r="V89" i="23" s="1"/>
  <c r="W22" i="8"/>
  <c r="V22" i="23" s="1"/>
  <c r="V74" i="23" s="1"/>
  <c r="W13" i="8"/>
  <c r="V13" i="23" s="1"/>
  <c r="V65" i="23" s="1"/>
  <c r="W6" i="8"/>
  <c r="V6" i="23" s="1"/>
  <c r="V58" i="23" s="1"/>
  <c r="AC6" i="8"/>
  <c r="AC30" i="8"/>
  <c r="AC23" i="8"/>
  <c r="M40" i="9"/>
  <c r="Q28" i="8"/>
  <c r="Q28" i="23" s="1"/>
  <c r="Q80" i="23" s="1"/>
  <c r="Q26" i="8"/>
  <c r="Q26" i="23" s="1"/>
  <c r="Q78" i="23" s="1"/>
  <c r="Q34" i="8"/>
  <c r="Q34" i="23" s="1"/>
  <c r="Q86" i="23" s="1"/>
  <c r="Q31" i="8"/>
  <c r="Q31" i="23" s="1"/>
  <c r="Q83" i="23" s="1"/>
  <c r="Q48" i="8"/>
  <c r="Q48" i="23" s="1"/>
  <c r="Q100" i="23" s="1"/>
  <c r="AB50" i="7"/>
  <c r="U10" i="8"/>
  <c r="T10" i="23" s="1"/>
  <c r="T62" i="23" s="1"/>
  <c r="U22" i="8"/>
  <c r="T22" i="23" s="1"/>
  <c r="T74" i="23" s="1"/>
  <c r="AH12" i="8"/>
  <c r="AD12" i="23" s="1"/>
  <c r="AD64" i="23" s="1"/>
  <c r="AH19" i="8"/>
  <c r="AD19" i="23" s="1"/>
  <c r="AD71" i="23" s="1"/>
  <c r="AH27" i="8"/>
  <c r="AD27" i="23" s="1"/>
  <c r="AD79" i="23" s="1"/>
  <c r="AH43" i="8"/>
  <c r="AD43" i="23" s="1"/>
  <c r="AD95" i="23" s="1"/>
  <c r="AH24" i="8"/>
  <c r="AD24" i="23" s="1"/>
  <c r="AD76" i="23" s="1"/>
  <c r="AH29" i="8"/>
  <c r="AD29" i="23" s="1"/>
  <c r="AD81" i="23" s="1"/>
  <c r="M8" i="9"/>
  <c r="W15" i="11"/>
  <c r="M43" i="13"/>
  <c r="W12" i="11"/>
  <c r="W25" i="11"/>
  <c r="T12" i="12"/>
  <c r="W12" i="12" s="1"/>
  <c r="T12" i="13"/>
  <c r="T13" i="12"/>
  <c r="W13" i="12" s="1"/>
  <c r="T13" i="13"/>
  <c r="T20" i="12"/>
  <c r="T20" i="13"/>
  <c r="W20" i="13" s="1"/>
  <c r="T26" i="12"/>
  <c r="T26" i="13"/>
  <c r="W26" i="13" s="1"/>
  <c r="T16" i="12"/>
  <c r="T16" i="13"/>
  <c r="W16" i="13" s="1"/>
  <c r="T38" i="12"/>
  <c r="W38" i="12" s="1"/>
  <c r="T38" i="13"/>
  <c r="W38" i="13" s="1"/>
  <c r="T11" i="12"/>
  <c r="T11" i="13"/>
  <c r="T34" i="12"/>
  <c r="T34" i="13"/>
  <c r="T7" i="12"/>
  <c r="W7" i="12" s="1"/>
  <c r="T7" i="13"/>
  <c r="W7" i="13" s="1"/>
  <c r="T15" i="12"/>
  <c r="T15" i="13"/>
  <c r="W15" i="13" s="1"/>
  <c r="M44" i="9"/>
  <c r="W5" i="11"/>
  <c r="AA14" i="11"/>
  <c r="Z14" i="12"/>
  <c r="AA14" i="12" s="1"/>
  <c r="Z14" i="13"/>
  <c r="AA14" i="13" s="1"/>
  <c r="AA11" i="11"/>
  <c r="Z11" i="12"/>
  <c r="AA11" i="12" s="1"/>
  <c r="Z11" i="13"/>
  <c r="AA11" i="13" s="1"/>
  <c r="AA31" i="11"/>
  <c r="Z31" i="12"/>
  <c r="AA31" i="12" s="1"/>
  <c r="Z31" i="13"/>
  <c r="AA31" i="13" s="1"/>
  <c r="AA24" i="11"/>
  <c r="Z24" i="12"/>
  <c r="AA24" i="12" s="1"/>
  <c r="Z24" i="13"/>
  <c r="AA24" i="13" s="1"/>
  <c r="AA39" i="11"/>
  <c r="Z39" i="12"/>
  <c r="AA39" i="12" s="1"/>
  <c r="Z39" i="13"/>
  <c r="AA39" i="13" s="1"/>
  <c r="AA26" i="11"/>
  <c r="Z26" i="12"/>
  <c r="AA26" i="12" s="1"/>
  <c r="Z26" i="13"/>
  <c r="AA26" i="13" s="1"/>
  <c r="AA32" i="11"/>
  <c r="Z32" i="12"/>
  <c r="AA32" i="12" s="1"/>
  <c r="Z32" i="13"/>
  <c r="AA32" i="13" s="1"/>
  <c r="AA25" i="11"/>
  <c r="Z25" i="12"/>
  <c r="AA25" i="12" s="1"/>
  <c r="Z25" i="13"/>
  <c r="AA25" i="13" s="1"/>
  <c r="AA7" i="11"/>
  <c r="Z7" i="12"/>
  <c r="AA7" i="12" s="1"/>
  <c r="Z7" i="13"/>
  <c r="AA7" i="13" s="1"/>
  <c r="AA15" i="11"/>
  <c r="Z15" i="12"/>
  <c r="AA15" i="12" s="1"/>
  <c r="Z15" i="13"/>
  <c r="AA15" i="13" s="1"/>
  <c r="Y34" i="9"/>
  <c r="Y31" i="9"/>
  <c r="Y36" i="9"/>
  <c r="Y51" i="9"/>
  <c r="Y37" i="9"/>
  <c r="Y22" i="9"/>
  <c r="AB22" i="9" s="1"/>
  <c r="Y33" i="9"/>
  <c r="AB33" i="9" s="1"/>
  <c r="Y29" i="9"/>
  <c r="AB29" i="9" s="1"/>
  <c r="Y18" i="9"/>
  <c r="Y16" i="9"/>
  <c r="Y15" i="9"/>
  <c r="Y14" i="9"/>
  <c r="S5" i="13"/>
  <c r="S43" i="13" s="1"/>
  <c r="R43" i="13"/>
  <c r="AI48" i="8"/>
  <c r="AE48" i="23" s="1"/>
  <c r="AE100" i="23" s="1"/>
  <c r="AI46" i="8"/>
  <c r="AE46" i="23" s="1"/>
  <c r="AE98" i="23" s="1"/>
  <c r="AI32" i="8"/>
  <c r="AE32" i="23" s="1"/>
  <c r="AE84" i="23" s="1"/>
  <c r="AI44" i="8"/>
  <c r="AE44" i="23" s="1"/>
  <c r="AE96" i="23" s="1"/>
  <c r="AI33" i="8"/>
  <c r="AE33" i="23" s="1"/>
  <c r="AE85" i="23" s="1"/>
  <c r="AI27" i="8"/>
  <c r="AE27" i="23" s="1"/>
  <c r="AE79" i="23" s="1"/>
  <c r="AI24" i="8"/>
  <c r="AE24" i="23" s="1"/>
  <c r="AE76" i="23" s="1"/>
  <c r="AI47" i="8"/>
  <c r="AE47" i="23" s="1"/>
  <c r="AE99" i="23" s="1"/>
  <c r="AI22" i="8"/>
  <c r="AE22" i="23" s="1"/>
  <c r="AE74" i="23" s="1"/>
  <c r="AI40" i="8"/>
  <c r="AE40" i="23" s="1"/>
  <c r="AE92" i="23" s="1"/>
  <c r="AI42" i="8"/>
  <c r="AE42" i="23" s="1"/>
  <c r="AE94" i="23" s="1"/>
  <c r="AI49" i="8"/>
  <c r="AE49" i="23" s="1"/>
  <c r="AE101" i="23" s="1"/>
  <c r="AI31" i="8"/>
  <c r="AE31" i="23" s="1"/>
  <c r="AE83" i="23" s="1"/>
  <c r="AI45" i="8"/>
  <c r="AE45" i="23" s="1"/>
  <c r="AE97" i="23" s="1"/>
  <c r="AI43" i="8"/>
  <c r="AE43" i="23" s="1"/>
  <c r="AE95" i="23" s="1"/>
  <c r="O42" i="8"/>
  <c r="O42" i="23" s="1"/>
  <c r="O94" i="23" s="1"/>
  <c r="X30" i="8"/>
  <c r="W30" i="23" s="1"/>
  <c r="W82" i="23" s="1"/>
  <c r="X20" i="8"/>
  <c r="W20" i="23" s="1"/>
  <c r="W72" i="23" s="1"/>
  <c r="M27" i="8"/>
  <c r="M27" i="9"/>
  <c r="M33" i="8"/>
  <c r="M33" i="9"/>
  <c r="AH18" i="8"/>
  <c r="AD18" i="23" s="1"/>
  <c r="AD70" i="23" s="1"/>
  <c r="AH10" i="8"/>
  <c r="AD10" i="23" s="1"/>
  <c r="AD62" i="23" s="1"/>
  <c r="AH33" i="8"/>
  <c r="AD33" i="23" s="1"/>
  <c r="AD85" i="23" s="1"/>
  <c r="AH21" i="8"/>
  <c r="AD21" i="23" s="1"/>
  <c r="AD73" i="23" s="1"/>
  <c r="AH45" i="8"/>
  <c r="AD45" i="23" s="1"/>
  <c r="AD97" i="23" s="1"/>
  <c r="AI20" i="8"/>
  <c r="AE20" i="23" s="1"/>
  <c r="AE72" i="23" s="1"/>
  <c r="AI7" i="8"/>
  <c r="AE7" i="23" s="1"/>
  <c r="AE59" i="23" s="1"/>
  <c r="V32" i="12"/>
  <c r="V32" i="13"/>
  <c r="V17" i="12"/>
  <c r="V17" i="13"/>
  <c r="V31" i="12"/>
  <c r="V31" i="13"/>
  <c r="V19" i="12"/>
  <c r="V19" i="13"/>
  <c r="V40" i="12"/>
  <c r="V40" i="13"/>
  <c r="V11" i="12"/>
  <c r="V11" i="13"/>
  <c r="V39" i="12"/>
  <c r="V39" i="13"/>
  <c r="V9" i="12"/>
  <c r="V9" i="13"/>
  <c r="V6" i="12"/>
  <c r="V6" i="13"/>
  <c r="L53" i="9"/>
  <c r="M42" i="8"/>
  <c r="M42" i="9"/>
  <c r="X6" i="8"/>
  <c r="W6" i="23" s="1"/>
  <c r="W58" i="23" s="1"/>
  <c r="W38" i="8"/>
  <c r="V38" i="23" s="1"/>
  <c r="V90" i="23" s="1"/>
  <c r="W29" i="8"/>
  <c r="V29" i="23" s="1"/>
  <c r="V81" i="23" s="1"/>
  <c r="W18" i="8"/>
  <c r="V18" i="23" s="1"/>
  <c r="V70" i="23" s="1"/>
  <c r="AC11" i="8"/>
  <c r="AC27" i="8"/>
  <c r="AC51" i="8"/>
  <c r="U43" i="8"/>
  <c r="T43" i="23" s="1"/>
  <c r="T95" i="23" s="1"/>
  <c r="AB34" i="9"/>
  <c r="U21" i="8"/>
  <c r="T21" i="23" s="1"/>
  <c r="T73" i="23" s="1"/>
  <c r="U25" i="8"/>
  <c r="T25" i="23" s="1"/>
  <c r="T77" i="23" s="1"/>
  <c r="U18" i="8"/>
  <c r="T18" i="23" s="1"/>
  <c r="T70" i="23" s="1"/>
  <c r="M39" i="8"/>
  <c r="M39" i="9"/>
  <c r="O26" i="12"/>
  <c r="O26" i="13"/>
  <c r="O28" i="12"/>
  <c r="O28" i="13"/>
  <c r="O22" i="12"/>
  <c r="O22" i="13"/>
  <c r="O21" i="12"/>
  <c r="O21" i="13"/>
  <c r="O18" i="12"/>
  <c r="O18" i="13"/>
  <c r="O36" i="12"/>
  <c r="O36" i="13"/>
  <c r="O13" i="12"/>
  <c r="O13" i="13"/>
  <c r="O35" i="12"/>
  <c r="O35" i="13"/>
  <c r="O8" i="12"/>
  <c r="O8" i="13"/>
  <c r="AI28" i="8"/>
  <c r="AE28" i="23" s="1"/>
  <c r="AE80" i="23" s="1"/>
  <c r="W27" i="11"/>
  <c r="AI13" i="8"/>
  <c r="AE13" i="23" s="1"/>
  <c r="AE65" i="23" s="1"/>
  <c r="AI16" i="8"/>
  <c r="AE16" i="23" s="1"/>
  <c r="AE68" i="23" s="1"/>
  <c r="AI41" i="8"/>
  <c r="AE41" i="23" s="1"/>
  <c r="AE93" i="23" s="1"/>
  <c r="N16" i="12"/>
  <c r="N16" i="13"/>
  <c r="N21" i="12"/>
  <c r="N21" i="13"/>
  <c r="N26" i="12"/>
  <c r="N26" i="13"/>
  <c r="N24" i="12"/>
  <c r="N24" i="13"/>
  <c r="N29" i="12"/>
  <c r="N29" i="13"/>
  <c r="N36" i="12"/>
  <c r="N36" i="13"/>
  <c r="N18" i="12"/>
  <c r="N18" i="13"/>
  <c r="N6" i="12"/>
  <c r="N6" i="13"/>
  <c r="N10" i="12"/>
  <c r="N10" i="13"/>
  <c r="P20" i="12"/>
  <c r="P20" i="13"/>
  <c r="P18" i="12"/>
  <c r="P18" i="13"/>
  <c r="P16" i="12"/>
  <c r="P16" i="13"/>
  <c r="P12" i="12"/>
  <c r="P12" i="13"/>
  <c r="P11" i="12"/>
  <c r="P11" i="13"/>
  <c r="P37" i="12"/>
  <c r="P37" i="13"/>
  <c r="P35" i="12"/>
  <c r="P35" i="13"/>
  <c r="P9" i="12"/>
  <c r="P9" i="13"/>
  <c r="P8" i="12"/>
  <c r="P8" i="13"/>
  <c r="V10" i="8"/>
  <c r="V10" i="9"/>
  <c r="V28" i="8"/>
  <c r="V28" i="9"/>
  <c r="V18" i="8"/>
  <c r="V18" i="9"/>
  <c r="V39" i="8"/>
  <c r="V39" i="9"/>
  <c r="AB17" i="7"/>
  <c r="V17" i="8"/>
  <c r="V17" i="9"/>
  <c r="V11" i="8"/>
  <c r="V11" i="9"/>
  <c r="AB11" i="9" s="1"/>
  <c r="AB25" i="7"/>
  <c r="V25" i="8"/>
  <c r="V25" i="9"/>
  <c r="V40" i="8"/>
  <c r="V40" i="9"/>
  <c r="AB40" i="9" s="1"/>
  <c r="V45" i="8"/>
  <c r="V45" i="9"/>
  <c r="V31" i="8"/>
  <c r="V31" i="9"/>
  <c r="V30" i="8"/>
  <c r="V30" i="9"/>
  <c r="V44" i="8"/>
  <c r="V44" i="9"/>
  <c r="M15" i="8"/>
  <c r="M15" i="9"/>
  <c r="M9" i="9"/>
  <c r="X49" i="8"/>
  <c r="W49" i="23" s="1"/>
  <c r="W101" i="23" s="1"/>
  <c r="X26" i="8"/>
  <c r="W26" i="23" s="1"/>
  <c r="W78" i="23" s="1"/>
  <c r="X37" i="8"/>
  <c r="W37" i="23" s="1"/>
  <c r="W89" i="23" s="1"/>
  <c r="AB19" i="7"/>
  <c r="AC20" i="8"/>
  <c r="AD53" i="9"/>
  <c r="AC39" i="8"/>
  <c r="AC34" i="8"/>
  <c r="M49" i="8"/>
  <c r="M49" i="9"/>
  <c r="U44" i="8"/>
  <c r="T44" i="23" s="1"/>
  <c r="T96" i="23" s="1"/>
  <c r="U30" i="8"/>
  <c r="T30" i="23" s="1"/>
  <c r="T82" i="23" s="1"/>
  <c r="U28" i="8"/>
  <c r="T28" i="23" s="1"/>
  <c r="T80" i="23" s="1"/>
  <c r="U42" i="8"/>
  <c r="T42" i="23" s="1"/>
  <c r="T94" i="23" s="1"/>
  <c r="W28" i="11"/>
  <c r="AI26" i="8"/>
  <c r="AE26" i="23" s="1"/>
  <c r="AE78" i="23" s="1"/>
  <c r="M43" i="12"/>
  <c r="AI51" i="8"/>
  <c r="AE51" i="23" s="1"/>
  <c r="AE103" i="23" s="1"/>
  <c r="W40" i="11"/>
  <c r="AI9" i="8"/>
  <c r="AE9" i="23" s="1"/>
  <c r="AE61" i="23" s="1"/>
  <c r="AI15" i="8"/>
  <c r="AE15" i="23" s="1"/>
  <c r="AE67" i="23" s="1"/>
  <c r="T40" i="12"/>
  <c r="R40" i="24" s="1"/>
  <c r="R82" i="24" s="1"/>
  <c r="T40" i="13"/>
  <c r="T24" i="12"/>
  <c r="W24" i="12" s="1"/>
  <c r="T24" i="13"/>
  <c r="W24" i="13" s="1"/>
  <c r="T35" i="12"/>
  <c r="W35" i="12" s="1"/>
  <c r="T35" i="13"/>
  <c r="W35" i="13" s="1"/>
  <c r="T37" i="12"/>
  <c r="T37" i="13"/>
  <c r="T31" i="12"/>
  <c r="R31" i="24" s="1"/>
  <c r="R73" i="24" s="1"/>
  <c r="T31" i="13"/>
  <c r="T22" i="12"/>
  <c r="W22" i="12" s="1"/>
  <c r="T22" i="13"/>
  <c r="W22" i="13" s="1"/>
  <c r="T27" i="12"/>
  <c r="T27" i="13"/>
  <c r="W27" i="13" s="1"/>
  <c r="T29" i="12"/>
  <c r="W29" i="12" s="1"/>
  <c r="T29" i="13"/>
  <c r="W29" i="13" s="1"/>
  <c r="T8" i="12"/>
  <c r="T8" i="13"/>
  <c r="W8" i="13" s="1"/>
  <c r="W24" i="11"/>
  <c r="W36" i="11"/>
  <c r="AI10" i="8"/>
  <c r="AE10" i="23" s="1"/>
  <c r="AE62" i="23" s="1"/>
  <c r="AA18" i="11"/>
  <c r="Z18" i="12"/>
  <c r="AA18" i="12" s="1"/>
  <c r="Z18" i="13"/>
  <c r="AA18" i="13" s="1"/>
  <c r="AA34" i="11"/>
  <c r="Z34" i="12"/>
  <c r="AA34" i="12" s="1"/>
  <c r="Z34" i="13"/>
  <c r="AA34" i="13" s="1"/>
  <c r="AA13" i="11"/>
  <c r="Z13" i="12"/>
  <c r="AA13" i="12" s="1"/>
  <c r="Z13" i="13"/>
  <c r="AA13" i="13" s="1"/>
  <c r="AA30" i="11"/>
  <c r="Z30" i="12"/>
  <c r="AA30" i="12" s="1"/>
  <c r="Z30" i="13"/>
  <c r="AA30" i="13" s="1"/>
  <c r="AA12" i="11"/>
  <c r="Z12" i="12"/>
  <c r="AA12" i="12" s="1"/>
  <c r="Z12" i="13"/>
  <c r="AA12" i="13" s="1"/>
  <c r="AA29" i="11"/>
  <c r="Z29" i="12"/>
  <c r="AA29" i="12" s="1"/>
  <c r="Z29" i="13"/>
  <c r="AA29" i="13" s="1"/>
  <c r="AA16" i="11"/>
  <c r="Z16" i="12"/>
  <c r="AA16" i="12" s="1"/>
  <c r="Z16" i="13"/>
  <c r="AA16" i="13" s="1"/>
  <c r="AA35" i="11"/>
  <c r="Z35" i="12"/>
  <c r="AA35" i="12" s="1"/>
  <c r="Z35" i="13"/>
  <c r="AA35" i="13" s="1"/>
  <c r="AA8" i="11"/>
  <c r="Z8" i="12"/>
  <c r="AA8" i="12" s="1"/>
  <c r="Z8" i="13"/>
  <c r="AA8" i="13" s="1"/>
  <c r="Y45" i="9"/>
  <c r="Y39" i="9"/>
  <c r="Y42" i="9"/>
  <c r="AB42" i="9" s="1"/>
  <c r="Y35" i="9"/>
  <c r="Y48" i="9"/>
  <c r="Y47" i="9"/>
  <c r="Y44" i="9"/>
  <c r="Y5" i="9"/>
  <c r="Y53" i="7"/>
  <c r="Y58" i="7" s="1"/>
  <c r="Y43" i="8" s="1"/>
  <c r="X43" i="23" s="1"/>
  <c r="X95" i="23" s="1"/>
  <c r="Y25" i="9"/>
  <c r="Y17" i="9"/>
  <c r="Y20" i="9"/>
  <c r="Y19" i="9"/>
  <c r="AB19" i="9" s="1"/>
  <c r="D10" i="5"/>
  <c r="T56" i="6" s="1"/>
  <c r="AB18" i="9" l="1"/>
  <c r="T8" i="24"/>
  <c r="T50" i="24" s="1"/>
  <c r="AB50" i="9"/>
  <c r="U7" i="23"/>
  <c r="U59" i="23" s="1"/>
  <c r="U35" i="23"/>
  <c r="U87" i="23" s="1"/>
  <c r="AB23" i="9"/>
  <c r="AB47" i="9"/>
  <c r="AB28" i="9"/>
  <c r="M27" i="23"/>
  <c r="M79" i="23" s="1"/>
  <c r="R11" i="24"/>
  <c r="R53" i="24" s="1"/>
  <c r="U47" i="23"/>
  <c r="U99" i="23" s="1"/>
  <c r="U51" i="23"/>
  <c r="U103" i="23" s="1"/>
  <c r="U21" i="23"/>
  <c r="U73" i="23" s="1"/>
  <c r="AB16" i="9"/>
  <c r="U24" i="23"/>
  <c r="U76" i="23" s="1"/>
  <c r="P7" i="24"/>
  <c r="P49" i="24" s="1"/>
  <c r="P24" i="24"/>
  <c r="P66" i="24" s="1"/>
  <c r="P28" i="24"/>
  <c r="P70" i="24" s="1"/>
  <c r="P32" i="24"/>
  <c r="P74" i="24" s="1"/>
  <c r="P36" i="24"/>
  <c r="P78" i="24" s="1"/>
  <c r="T41" i="24"/>
  <c r="T83" i="24" s="1"/>
  <c r="T34" i="24"/>
  <c r="T76" i="24" s="1"/>
  <c r="T16" i="24"/>
  <c r="T58" i="24" s="1"/>
  <c r="T20" i="24"/>
  <c r="T62" i="24" s="1"/>
  <c r="U42" i="23"/>
  <c r="U94" i="23" s="1"/>
  <c r="U46" i="23"/>
  <c r="U98" i="23" s="1"/>
  <c r="U20" i="23"/>
  <c r="U72" i="23" s="1"/>
  <c r="U12" i="23"/>
  <c r="U64" i="23" s="1"/>
  <c r="U9" i="23"/>
  <c r="U61" i="23" s="1"/>
  <c r="P15" i="24"/>
  <c r="P57" i="24" s="1"/>
  <c r="P38" i="24"/>
  <c r="P80" i="24" s="1"/>
  <c r="P23" i="24"/>
  <c r="P65" i="24" s="1"/>
  <c r="P30" i="24"/>
  <c r="P72" i="24" s="1"/>
  <c r="P14" i="24"/>
  <c r="P56" i="24" s="1"/>
  <c r="N8" i="24"/>
  <c r="N50" i="24" s="1"/>
  <c r="N14" i="24"/>
  <c r="N56" i="24" s="1"/>
  <c r="N38" i="24"/>
  <c r="N80" i="24" s="1"/>
  <c r="N28" i="24"/>
  <c r="N70" i="24" s="1"/>
  <c r="N35" i="24"/>
  <c r="N77" i="24" s="1"/>
  <c r="O10" i="24"/>
  <c r="O52" i="24" s="1"/>
  <c r="O29" i="24"/>
  <c r="O71" i="24" s="1"/>
  <c r="O20" i="24"/>
  <c r="O62" i="24" s="1"/>
  <c r="O40" i="24"/>
  <c r="O82" i="24" s="1"/>
  <c r="O11" i="24"/>
  <c r="O53" i="24" s="1"/>
  <c r="S43" i="12"/>
  <c r="R9" i="24"/>
  <c r="R51" i="24" s="1"/>
  <c r="R21" i="24"/>
  <c r="R63" i="24" s="1"/>
  <c r="R30" i="24"/>
  <c r="R72" i="24" s="1"/>
  <c r="O5" i="24"/>
  <c r="O47" i="24" s="1"/>
  <c r="O39" i="24"/>
  <c r="O81" i="24" s="1"/>
  <c r="O24" i="24"/>
  <c r="O66" i="24" s="1"/>
  <c r="O31" i="24"/>
  <c r="O73" i="24" s="1"/>
  <c r="T10" i="24"/>
  <c r="T52" i="24" s="1"/>
  <c r="T14" i="24"/>
  <c r="T56" i="24" s="1"/>
  <c r="T13" i="24"/>
  <c r="T55" i="24" s="1"/>
  <c r="T37" i="24"/>
  <c r="T79" i="24" s="1"/>
  <c r="M15" i="23"/>
  <c r="M67" i="23" s="1"/>
  <c r="U30" i="23"/>
  <c r="U82" i="23" s="1"/>
  <c r="U45" i="23"/>
  <c r="U97" i="23" s="1"/>
  <c r="U25" i="23"/>
  <c r="U77" i="23" s="1"/>
  <c r="U39" i="23"/>
  <c r="U91" i="23" s="1"/>
  <c r="U28" i="23"/>
  <c r="U80" i="23" s="1"/>
  <c r="P8" i="24"/>
  <c r="P50" i="24" s="1"/>
  <c r="P35" i="24"/>
  <c r="P77" i="24" s="1"/>
  <c r="P11" i="24"/>
  <c r="P53" i="24" s="1"/>
  <c r="P16" i="24"/>
  <c r="P58" i="24" s="1"/>
  <c r="P20" i="24"/>
  <c r="P62" i="24" s="1"/>
  <c r="N6" i="24"/>
  <c r="N48" i="24" s="1"/>
  <c r="N36" i="24"/>
  <c r="N78" i="24" s="1"/>
  <c r="N24" i="24"/>
  <c r="N66" i="24" s="1"/>
  <c r="N21" i="24"/>
  <c r="N63" i="24" s="1"/>
  <c r="T6" i="24"/>
  <c r="T48" i="24" s="1"/>
  <c r="T39" i="24"/>
  <c r="T81" i="24" s="1"/>
  <c r="T40" i="24"/>
  <c r="T82" i="24" s="1"/>
  <c r="T31" i="24"/>
  <c r="T73" i="24" s="1"/>
  <c r="T32" i="24"/>
  <c r="T74" i="24" s="1"/>
  <c r="W34" i="13"/>
  <c r="W13" i="13"/>
  <c r="AB27" i="9"/>
  <c r="AB6" i="9"/>
  <c r="W14" i="13"/>
  <c r="AB48" i="9"/>
  <c r="W8" i="12"/>
  <c r="W27" i="12"/>
  <c r="AB20" i="9"/>
  <c r="AB5" i="9"/>
  <c r="W37" i="13"/>
  <c r="M49" i="23"/>
  <c r="M101" i="23" s="1"/>
  <c r="U17" i="23"/>
  <c r="U69" i="23" s="1"/>
  <c r="O8" i="24"/>
  <c r="O50" i="24" s="1"/>
  <c r="O13" i="24"/>
  <c r="O55" i="24" s="1"/>
  <c r="O18" i="24"/>
  <c r="O60" i="24" s="1"/>
  <c r="O22" i="24"/>
  <c r="O64" i="24" s="1"/>
  <c r="O26" i="24"/>
  <c r="O68" i="24" s="1"/>
  <c r="M42" i="23"/>
  <c r="M94" i="23" s="1"/>
  <c r="W15" i="12"/>
  <c r="W26" i="12"/>
  <c r="W10" i="13"/>
  <c r="AB44" i="9"/>
  <c r="U44" i="23"/>
  <c r="U96" i="23" s="1"/>
  <c r="U31" i="23"/>
  <c r="U83" i="23" s="1"/>
  <c r="U10" i="23"/>
  <c r="U62" i="23" s="1"/>
  <c r="P37" i="24"/>
  <c r="P79" i="24" s="1"/>
  <c r="P18" i="24"/>
  <c r="P60" i="24" s="1"/>
  <c r="N18" i="24"/>
  <c r="N60" i="24" s="1"/>
  <c r="N26" i="24"/>
  <c r="N68" i="24" s="1"/>
  <c r="T11" i="24"/>
  <c r="T53" i="24" s="1"/>
  <c r="T19" i="24"/>
  <c r="T61" i="24" s="1"/>
  <c r="T17" i="24"/>
  <c r="T59" i="24" s="1"/>
  <c r="M33" i="23"/>
  <c r="M85" i="23" s="1"/>
  <c r="R34" i="24"/>
  <c r="R76" i="24" s="1"/>
  <c r="U16" i="23"/>
  <c r="U68" i="23" s="1"/>
  <c r="U13" i="23"/>
  <c r="U65" i="23" s="1"/>
  <c r="N5" i="24"/>
  <c r="N47" i="24" s="1"/>
  <c r="N23" i="24"/>
  <c r="N65" i="24" s="1"/>
  <c r="N27" i="24"/>
  <c r="N69" i="24" s="1"/>
  <c r="N37" i="24"/>
  <c r="N79" i="24" s="1"/>
  <c r="O15" i="24"/>
  <c r="O57" i="24" s="1"/>
  <c r="O32" i="24"/>
  <c r="O74" i="24" s="1"/>
  <c r="O33" i="24"/>
  <c r="O75" i="24" s="1"/>
  <c r="O37" i="24"/>
  <c r="O79" i="24" s="1"/>
  <c r="O25" i="24"/>
  <c r="O67" i="24" s="1"/>
  <c r="R6" i="24"/>
  <c r="R48" i="24" s="1"/>
  <c r="R17" i="24"/>
  <c r="R59" i="24" s="1"/>
  <c r="R41" i="24"/>
  <c r="R83" i="24" s="1"/>
  <c r="R25" i="24"/>
  <c r="R67" i="24" s="1"/>
  <c r="T18" i="24"/>
  <c r="T60" i="24" s="1"/>
  <c r="T29" i="24"/>
  <c r="T71" i="24" s="1"/>
  <c r="T12" i="24"/>
  <c r="T54" i="24" s="1"/>
  <c r="T21" i="24"/>
  <c r="T63" i="24" s="1"/>
  <c r="R18" i="24"/>
  <c r="R60" i="24" s="1"/>
  <c r="P5" i="24"/>
  <c r="P47" i="24" s="1"/>
  <c r="P21" i="24"/>
  <c r="P63" i="24" s="1"/>
  <c r="P41" i="24"/>
  <c r="P83" i="24" s="1"/>
  <c r="P17" i="24"/>
  <c r="P59" i="24" s="1"/>
  <c r="N15" i="24"/>
  <c r="N57" i="24" s="1"/>
  <c r="N41" i="24"/>
  <c r="N83" i="24" s="1"/>
  <c r="N12" i="24"/>
  <c r="N54" i="24" s="1"/>
  <c r="N33" i="24"/>
  <c r="N75" i="24" s="1"/>
  <c r="N30" i="24"/>
  <c r="N72" i="24" s="1"/>
  <c r="O9" i="24"/>
  <c r="O51" i="24" s="1"/>
  <c r="R37" i="24"/>
  <c r="R79" i="24" s="1"/>
  <c r="U40" i="23"/>
  <c r="U92" i="23" s="1"/>
  <c r="U18" i="23"/>
  <c r="U70" i="23" s="1"/>
  <c r="P9" i="24"/>
  <c r="P51" i="24" s="1"/>
  <c r="P12" i="24"/>
  <c r="P54" i="24" s="1"/>
  <c r="N10" i="24"/>
  <c r="N52" i="24" s="1"/>
  <c r="N29" i="24"/>
  <c r="N71" i="24" s="1"/>
  <c r="N16" i="24"/>
  <c r="N58" i="24" s="1"/>
  <c r="T9" i="24"/>
  <c r="T51" i="24" s="1"/>
  <c r="AB45" i="9"/>
  <c r="U11" i="23"/>
  <c r="U63" i="23" s="1"/>
  <c r="O35" i="24"/>
  <c r="O77" i="24" s="1"/>
  <c r="O36" i="24"/>
  <c r="O78" i="24" s="1"/>
  <c r="O21" i="24"/>
  <c r="O63" i="24" s="1"/>
  <c r="O28" i="24"/>
  <c r="O70" i="24" s="1"/>
  <c r="M39" i="23"/>
  <c r="M91" i="23" s="1"/>
  <c r="U41" i="23"/>
  <c r="U93" i="23" s="1"/>
  <c r="U27" i="23"/>
  <c r="U79" i="23" s="1"/>
  <c r="U36" i="23"/>
  <c r="U88" i="23" s="1"/>
  <c r="AB7" i="9"/>
  <c r="U6" i="23"/>
  <c r="U58" i="23" s="1"/>
  <c r="P22" i="24"/>
  <c r="P64" i="24" s="1"/>
  <c r="P26" i="24"/>
  <c r="P68" i="24" s="1"/>
  <c r="P13" i="24"/>
  <c r="P55" i="24" s="1"/>
  <c r="P34" i="24"/>
  <c r="P76" i="24" s="1"/>
  <c r="N9" i="24"/>
  <c r="N51" i="24" s="1"/>
  <c r="T5" i="24"/>
  <c r="T47" i="24" s="1"/>
  <c r="T36" i="24"/>
  <c r="T78" i="24" s="1"/>
  <c r="T33" i="24"/>
  <c r="T75" i="24" s="1"/>
  <c r="T28" i="24"/>
  <c r="T70" i="24" s="1"/>
  <c r="T25" i="24"/>
  <c r="T67" i="24" s="1"/>
  <c r="U37" i="23"/>
  <c r="U89" i="23" s="1"/>
  <c r="U50" i="23"/>
  <c r="U102" i="23" s="1"/>
  <c r="U33" i="23"/>
  <c r="U85" i="23" s="1"/>
  <c r="U26" i="23"/>
  <c r="U78" i="23" s="1"/>
  <c r="U32" i="23"/>
  <c r="U84" i="23" s="1"/>
  <c r="U19" i="23"/>
  <c r="U71" i="23" s="1"/>
  <c r="P6" i="24"/>
  <c r="P48" i="24" s="1"/>
  <c r="P40" i="24"/>
  <c r="P82" i="24" s="1"/>
  <c r="P25" i="24"/>
  <c r="P67" i="24" s="1"/>
  <c r="P29" i="24"/>
  <c r="P71" i="24" s="1"/>
  <c r="P33" i="24"/>
  <c r="P75" i="24" s="1"/>
  <c r="N25" i="24"/>
  <c r="N67" i="24" s="1"/>
  <c r="N39" i="24"/>
  <c r="N81" i="24" s="1"/>
  <c r="N17" i="24"/>
  <c r="N59" i="24" s="1"/>
  <c r="N13" i="24"/>
  <c r="N55" i="24" s="1"/>
  <c r="O6" i="24"/>
  <c r="O48" i="24" s="1"/>
  <c r="O23" i="24"/>
  <c r="O65" i="24" s="1"/>
  <c r="O27" i="24"/>
  <c r="O69" i="24" s="1"/>
  <c r="O14" i="24"/>
  <c r="O56" i="24" s="1"/>
  <c r="R14" i="24"/>
  <c r="R56" i="24" s="1"/>
  <c r="R19" i="24"/>
  <c r="R61" i="24" s="1"/>
  <c r="R39" i="24"/>
  <c r="R81" i="24" s="1"/>
  <c r="U14" i="23"/>
  <c r="U66" i="23" s="1"/>
  <c r="P10" i="24"/>
  <c r="P52" i="24" s="1"/>
  <c r="O16" i="24"/>
  <c r="O58" i="24" s="1"/>
  <c r="O12" i="24"/>
  <c r="O54" i="24" s="1"/>
  <c r="O17" i="24"/>
  <c r="O59" i="24" s="1"/>
  <c r="O41" i="24"/>
  <c r="O83" i="24" s="1"/>
  <c r="T7" i="24"/>
  <c r="T49" i="24" s="1"/>
  <c r="J7" i="26" s="1"/>
  <c r="J13" i="26" s="1"/>
  <c r="T23" i="24"/>
  <c r="T65" i="24" s="1"/>
  <c r="T24" i="24"/>
  <c r="T66" i="24" s="1"/>
  <c r="T38" i="24"/>
  <c r="T80" i="24" s="1"/>
  <c r="T35" i="24"/>
  <c r="T77" i="24" s="1"/>
  <c r="G7" i="26"/>
  <c r="G13" i="26" s="1"/>
  <c r="W16" i="12"/>
  <c r="W20" i="12"/>
  <c r="R10" i="24"/>
  <c r="R52" i="24" s="1"/>
  <c r="R28" i="24"/>
  <c r="R70" i="24" s="1"/>
  <c r="R32" i="24"/>
  <c r="R74" i="24" s="1"/>
  <c r="R36" i="24"/>
  <c r="R78" i="24" s="1"/>
  <c r="T30" i="24"/>
  <c r="T72" i="24" s="1"/>
  <c r="T27" i="24"/>
  <c r="T69" i="24" s="1"/>
  <c r="T22" i="24"/>
  <c r="T64" i="24" s="1"/>
  <c r="T26" i="24"/>
  <c r="T68" i="24" s="1"/>
  <c r="V5" i="24"/>
  <c r="V47" i="24" s="1"/>
  <c r="R5" i="24"/>
  <c r="R47" i="24" s="1"/>
  <c r="R33" i="24"/>
  <c r="R75" i="24" s="1"/>
  <c r="P19" i="24"/>
  <c r="P61" i="24" s="1"/>
  <c r="P39" i="24"/>
  <c r="P81" i="24" s="1"/>
  <c r="P27" i="24"/>
  <c r="P69" i="24" s="1"/>
  <c r="P31" i="24"/>
  <c r="P73" i="24" s="1"/>
  <c r="N7" i="24"/>
  <c r="N49" i="24" s="1"/>
  <c r="N20" i="24"/>
  <c r="N62" i="24" s="1"/>
  <c r="D7" i="26" s="1"/>
  <c r="D13" i="26" s="1"/>
  <c r="N19" i="24"/>
  <c r="N61" i="24" s="1"/>
  <c r="N31" i="24"/>
  <c r="N73" i="24" s="1"/>
  <c r="N40" i="24"/>
  <c r="N82" i="24" s="1"/>
  <c r="J9" i="26"/>
  <c r="J11" i="26"/>
  <c r="C15" i="26"/>
  <c r="C14" i="26"/>
  <c r="H9" i="26"/>
  <c r="H11" i="26"/>
  <c r="E9" i="26"/>
  <c r="E11" i="26"/>
  <c r="E7" i="26"/>
  <c r="E13" i="26" s="1"/>
  <c r="G15" i="26"/>
  <c r="G14" i="26"/>
  <c r="D9" i="26"/>
  <c r="D11" i="26"/>
  <c r="F9" i="26"/>
  <c r="F11" i="26"/>
  <c r="F7" i="26"/>
  <c r="F13" i="26" s="1"/>
  <c r="W31" i="13"/>
  <c r="W40" i="13"/>
  <c r="AD34" i="8"/>
  <c r="AA34" i="23"/>
  <c r="AA86" i="23" s="1"/>
  <c r="AD51" i="8"/>
  <c r="AA51" i="23"/>
  <c r="AA103" i="23" s="1"/>
  <c r="AD39" i="8"/>
  <c r="AA39" i="23"/>
  <c r="AA91" i="23" s="1"/>
  <c r="M9" i="8"/>
  <c r="M9" i="23" s="1"/>
  <c r="M61" i="23" s="1"/>
  <c r="AD27" i="8"/>
  <c r="AA27" i="23"/>
  <c r="AA79" i="23" s="1"/>
  <c r="M44" i="8"/>
  <c r="M44" i="23" s="1"/>
  <c r="M96" i="23" s="1"/>
  <c r="AD23" i="8"/>
  <c r="AA23" i="23"/>
  <c r="AA75" i="23" s="1"/>
  <c r="AD8" i="8"/>
  <c r="AA8" i="23"/>
  <c r="AA60" i="23" s="1"/>
  <c r="AD7" i="8"/>
  <c r="AA7" i="23"/>
  <c r="AA59" i="23" s="1"/>
  <c r="AD47" i="8"/>
  <c r="AA47" i="23"/>
  <c r="AA99" i="23" s="1"/>
  <c r="AB43" i="9"/>
  <c r="AB8" i="9"/>
  <c r="AB14" i="9"/>
  <c r="AD21" i="8"/>
  <c r="AA21" i="23"/>
  <c r="AA73" i="23" s="1"/>
  <c r="V32" i="24"/>
  <c r="V74" i="24" s="1"/>
  <c r="V31" i="24"/>
  <c r="V73" i="24" s="1"/>
  <c r="V23" i="24"/>
  <c r="V65" i="24" s="1"/>
  <c r="V37" i="24"/>
  <c r="V79" i="24" s="1"/>
  <c r="R27" i="24"/>
  <c r="R69" i="24" s="1"/>
  <c r="R35" i="24"/>
  <c r="R77" i="24" s="1"/>
  <c r="V16" i="24"/>
  <c r="V58" i="24" s="1"/>
  <c r="V13" i="24"/>
  <c r="V55" i="24" s="1"/>
  <c r="R26" i="24"/>
  <c r="R68" i="24" s="1"/>
  <c r="R13" i="24"/>
  <c r="R55" i="24" s="1"/>
  <c r="C7" i="26"/>
  <c r="C13" i="26" s="1"/>
  <c r="V19" i="24"/>
  <c r="V61" i="24" s="1"/>
  <c r="V21" i="24"/>
  <c r="V63" i="24" s="1"/>
  <c r="AD30" i="8"/>
  <c r="AA30" i="23"/>
  <c r="AA82" i="23" s="1"/>
  <c r="AD24" i="8"/>
  <c r="AA24" i="23"/>
  <c r="AA76" i="23" s="1"/>
  <c r="AD37" i="8"/>
  <c r="AA37" i="23"/>
  <c r="AA89" i="23" s="1"/>
  <c r="L9" i="25"/>
  <c r="L7" i="25"/>
  <c r="L13" i="25" s="1"/>
  <c r="L11" i="25"/>
  <c r="U9" i="25"/>
  <c r="U11" i="25"/>
  <c r="U7" i="25"/>
  <c r="U13" i="25" s="1"/>
  <c r="T9" i="25"/>
  <c r="T7" i="25"/>
  <c r="T13" i="25" s="1"/>
  <c r="T11" i="25"/>
  <c r="V15" i="24"/>
  <c r="V57" i="24" s="1"/>
  <c r="V26" i="24"/>
  <c r="V68" i="24" s="1"/>
  <c r="V11" i="24"/>
  <c r="V53" i="24" s="1"/>
  <c r="V9" i="24"/>
  <c r="V51" i="24" s="1"/>
  <c r="V36" i="24"/>
  <c r="V78" i="24" s="1"/>
  <c r="V41" i="24"/>
  <c r="V83" i="24" s="1"/>
  <c r="R22" i="24"/>
  <c r="R64" i="24" s="1"/>
  <c r="R24" i="24"/>
  <c r="R66" i="24" s="1"/>
  <c r="J9" i="25"/>
  <c r="J7" i="25"/>
  <c r="J13" i="25" s="1"/>
  <c r="J11" i="25"/>
  <c r="V29" i="24"/>
  <c r="V71" i="24" s="1"/>
  <c r="V34" i="24"/>
  <c r="V76" i="24" s="1"/>
  <c r="R15" i="24"/>
  <c r="R57" i="24" s="1"/>
  <c r="R38" i="24"/>
  <c r="R80" i="24" s="1"/>
  <c r="G9" i="25"/>
  <c r="G11" i="25"/>
  <c r="G7" i="25"/>
  <c r="G13" i="25" s="1"/>
  <c r="C11" i="26"/>
  <c r="V10" i="24"/>
  <c r="V52" i="24" s="1"/>
  <c r="V20" i="24"/>
  <c r="V62" i="24" s="1"/>
  <c r="V28" i="24"/>
  <c r="V70" i="24" s="1"/>
  <c r="G11" i="26"/>
  <c r="AD20" i="8"/>
  <c r="AA20" i="23"/>
  <c r="AA72" i="23" s="1"/>
  <c r="M8" i="8"/>
  <c r="M8" i="23" s="1"/>
  <c r="M60" i="23" s="1"/>
  <c r="AD6" i="8"/>
  <c r="AA6" i="23"/>
  <c r="AA58" i="23" s="1"/>
  <c r="L53" i="8"/>
  <c r="L6" i="23"/>
  <c r="L58" i="23" s="1"/>
  <c r="B7" i="25" s="1"/>
  <c r="B13" i="25" s="1"/>
  <c r="AD36" i="8"/>
  <c r="AA36" i="23"/>
  <c r="AA88" i="23" s="1"/>
  <c r="AD25" i="8"/>
  <c r="AA25" i="23"/>
  <c r="AA77" i="23" s="1"/>
  <c r="M9" i="25"/>
  <c r="M7" i="25"/>
  <c r="M13" i="25" s="1"/>
  <c r="M11" i="25"/>
  <c r="AD18" i="8"/>
  <c r="AA18" i="23"/>
  <c r="AA70" i="23" s="1"/>
  <c r="AD46" i="8"/>
  <c r="AA46" i="23"/>
  <c r="AA98" i="23" s="1"/>
  <c r="AD35" i="8"/>
  <c r="AA35" i="23"/>
  <c r="AA87" i="23" s="1"/>
  <c r="V7" i="24"/>
  <c r="V49" i="24" s="1"/>
  <c r="V39" i="24"/>
  <c r="V81" i="24" s="1"/>
  <c r="V33" i="24"/>
  <c r="V75" i="24" s="1"/>
  <c r="R8" i="24"/>
  <c r="R50" i="24" s="1"/>
  <c r="V8" i="24"/>
  <c r="V50" i="24" s="1"/>
  <c r="V12" i="24"/>
  <c r="V54" i="24" s="1"/>
  <c r="V18" i="24"/>
  <c r="V60" i="24" s="1"/>
  <c r="R7" i="24"/>
  <c r="R49" i="24" s="1"/>
  <c r="R20" i="24"/>
  <c r="R62" i="24" s="1"/>
  <c r="R12" i="24"/>
  <c r="R54" i="24" s="1"/>
  <c r="V14" i="24"/>
  <c r="V56" i="24" s="1"/>
  <c r="V6" i="24"/>
  <c r="V48" i="24" s="1"/>
  <c r="L9" i="26" s="1"/>
  <c r="V27" i="24"/>
  <c r="V69" i="24" s="1"/>
  <c r="AD11" i="8"/>
  <c r="AA11" i="23"/>
  <c r="AA63" i="23" s="1"/>
  <c r="M40" i="8"/>
  <c r="M40" i="23" s="1"/>
  <c r="M92" i="23" s="1"/>
  <c r="M5" i="8"/>
  <c r="M5" i="23" s="1"/>
  <c r="M57" i="23" s="1"/>
  <c r="AD41" i="8"/>
  <c r="AA41" i="23"/>
  <c r="AA93" i="23" s="1"/>
  <c r="AD43" i="8"/>
  <c r="AA43" i="23"/>
  <c r="AA95" i="23" s="1"/>
  <c r="AD10" i="8"/>
  <c r="AA10" i="23"/>
  <c r="AA62" i="23" s="1"/>
  <c r="AD15" i="8"/>
  <c r="AA15" i="23"/>
  <c r="AA67" i="23" s="1"/>
  <c r="E9" i="25"/>
  <c r="E7" i="25"/>
  <c r="E13" i="25" s="1"/>
  <c r="E11" i="25"/>
  <c r="P53" i="8"/>
  <c r="P5" i="23"/>
  <c r="P57" i="23" s="1"/>
  <c r="V25" i="24"/>
  <c r="V67" i="24" s="1"/>
  <c r="V24" i="24"/>
  <c r="V66" i="24" s="1"/>
  <c r="V38" i="24"/>
  <c r="V80" i="24" s="1"/>
  <c r="V17" i="24"/>
  <c r="V59" i="24" s="1"/>
  <c r="I9" i="26"/>
  <c r="I11" i="26"/>
  <c r="I7" i="26"/>
  <c r="I13" i="26" s="1"/>
  <c r="R29" i="24"/>
  <c r="R71" i="24" s="1"/>
  <c r="V35" i="24"/>
  <c r="V77" i="24" s="1"/>
  <c r="V30" i="24"/>
  <c r="V72" i="24" s="1"/>
  <c r="R16" i="24"/>
  <c r="R58" i="24" s="1"/>
  <c r="R23" i="24"/>
  <c r="R65" i="24" s="1"/>
  <c r="V22" i="24"/>
  <c r="V64" i="24" s="1"/>
  <c r="V40" i="24"/>
  <c r="V82" i="24" s="1"/>
  <c r="AB53" i="7"/>
  <c r="AB49" i="9"/>
  <c r="W37" i="12"/>
  <c r="AB30" i="9"/>
  <c r="AB25" i="9"/>
  <c r="AB39" i="9"/>
  <c r="W12" i="13"/>
  <c r="AB51" i="9"/>
  <c r="W25" i="12"/>
  <c r="AB37" i="9"/>
  <c r="AB26" i="9"/>
  <c r="AB17" i="9"/>
  <c r="U53" i="8"/>
  <c r="L47" i="11"/>
  <c r="AH53" i="8"/>
  <c r="W14" i="12"/>
  <c r="AB15" i="9"/>
  <c r="AB35" i="9"/>
  <c r="W31" i="12"/>
  <c r="W40" i="12"/>
  <c r="AB31" i="9"/>
  <c r="AB10" i="9"/>
  <c r="Q53" i="8"/>
  <c r="AB41" i="9"/>
  <c r="AB36" i="9"/>
  <c r="W10" i="12"/>
  <c r="AB46" i="9"/>
  <c r="AB12" i="9"/>
  <c r="Y42" i="8"/>
  <c r="X42" i="23" s="1"/>
  <c r="X94" i="23" s="1"/>
  <c r="N55" i="9"/>
  <c r="N55" i="8"/>
  <c r="N55" i="7"/>
  <c r="Y17" i="8"/>
  <c r="X17" i="23" s="1"/>
  <c r="X69" i="23" s="1"/>
  <c r="T54" i="9"/>
  <c r="T54" i="8"/>
  <c r="T54" i="7"/>
  <c r="Y5" i="8"/>
  <c r="X5" i="23" s="1"/>
  <c r="X57" i="23" s="1"/>
  <c r="Y35" i="8"/>
  <c r="Y39" i="8"/>
  <c r="Y14" i="8"/>
  <c r="Y16" i="8"/>
  <c r="Y29" i="8"/>
  <c r="X29" i="23" s="1"/>
  <c r="X81" i="23" s="1"/>
  <c r="Y51" i="8"/>
  <c r="Y31" i="8"/>
  <c r="N56" i="9"/>
  <c r="N56" i="8"/>
  <c r="N56" i="7"/>
  <c r="Y20" i="8"/>
  <c r="X20" i="23" s="1"/>
  <c r="X72" i="23" s="1"/>
  <c r="Y25" i="8"/>
  <c r="X25" i="23" s="1"/>
  <c r="X77" i="23" s="1"/>
  <c r="W43" i="11"/>
  <c r="W34" i="12"/>
  <c r="V43" i="12"/>
  <c r="M38" i="8"/>
  <c r="M38" i="23" s="1"/>
  <c r="M90" i="23" s="1"/>
  <c r="W28" i="12"/>
  <c r="W32" i="12"/>
  <c r="W36" i="12"/>
  <c r="M31" i="8"/>
  <c r="M31" i="23" s="1"/>
  <c r="M83" i="23" s="1"/>
  <c r="M20" i="8"/>
  <c r="M20" i="23" s="1"/>
  <c r="M72" i="23" s="1"/>
  <c r="M24" i="8"/>
  <c r="M24" i="23" s="1"/>
  <c r="M76" i="23" s="1"/>
  <c r="X53" i="8"/>
  <c r="M11" i="8"/>
  <c r="M11" i="23" s="1"/>
  <c r="M63" i="23" s="1"/>
  <c r="Y6" i="8"/>
  <c r="Y8" i="8"/>
  <c r="X8" i="23" s="1"/>
  <c r="X60" i="23" s="1"/>
  <c r="Y28" i="8"/>
  <c r="X28" i="23" s="1"/>
  <c r="X80" i="23" s="1"/>
  <c r="Y32" i="8"/>
  <c r="Y23" i="8"/>
  <c r="X23" i="23" s="1"/>
  <c r="X75" i="23" s="1"/>
  <c r="Y40" i="8"/>
  <c r="X40" i="23" s="1"/>
  <c r="X92" i="23" s="1"/>
  <c r="W9" i="12"/>
  <c r="W18" i="13"/>
  <c r="W21" i="12"/>
  <c r="W30" i="12"/>
  <c r="M16" i="8"/>
  <c r="M16" i="23" s="1"/>
  <c r="M68" i="23" s="1"/>
  <c r="V49" i="8"/>
  <c r="U49" i="23" s="1"/>
  <c r="U101" i="23" s="1"/>
  <c r="V38" i="8"/>
  <c r="U38" i="23" s="1"/>
  <c r="U90" i="23" s="1"/>
  <c r="V43" i="8"/>
  <c r="V15" i="8"/>
  <c r="U15" i="23" s="1"/>
  <c r="U67" i="23" s="1"/>
  <c r="V8" i="8"/>
  <c r="U8" i="23" s="1"/>
  <c r="U60" i="23" s="1"/>
  <c r="V53" i="9"/>
  <c r="P43" i="12"/>
  <c r="M48" i="8"/>
  <c r="M48" i="23" s="1"/>
  <c r="M100" i="23" s="1"/>
  <c r="M30" i="8"/>
  <c r="M30" i="23" s="1"/>
  <c r="M82" i="23" s="1"/>
  <c r="F35" i="5"/>
  <c r="L46" i="13"/>
  <c r="L46" i="12"/>
  <c r="L46" i="11"/>
  <c r="L46" i="10"/>
  <c r="Y44" i="8"/>
  <c r="X44" i="23" s="1"/>
  <c r="X96" i="23" s="1"/>
  <c r="Y45" i="8"/>
  <c r="X45" i="23" s="1"/>
  <c r="X97" i="23" s="1"/>
  <c r="Y15" i="8"/>
  <c r="X15" i="23" s="1"/>
  <c r="X67" i="23" s="1"/>
  <c r="Y18" i="8"/>
  <c r="X18" i="23" s="1"/>
  <c r="X70" i="23" s="1"/>
  <c r="Y33" i="8"/>
  <c r="Y37" i="8"/>
  <c r="Y36" i="8"/>
  <c r="X36" i="23" s="1"/>
  <c r="X88" i="23" s="1"/>
  <c r="Y34" i="8"/>
  <c r="X34" i="23" s="1"/>
  <c r="X86" i="23" s="1"/>
  <c r="W11" i="13"/>
  <c r="M13" i="8"/>
  <c r="M13" i="23" s="1"/>
  <c r="M65" i="23" s="1"/>
  <c r="N43" i="13"/>
  <c r="M14" i="8"/>
  <c r="M14" i="23" s="1"/>
  <c r="M66" i="23" s="1"/>
  <c r="M21" i="8"/>
  <c r="M21" i="23" s="1"/>
  <c r="M73" i="23" s="1"/>
  <c r="M19" i="8"/>
  <c r="M19" i="23" s="1"/>
  <c r="M71" i="23" s="1"/>
  <c r="Y12" i="8"/>
  <c r="X12" i="23" s="1"/>
  <c r="X64" i="23" s="1"/>
  <c r="Y21" i="8"/>
  <c r="Y38" i="8"/>
  <c r="X38" i="23" s="1"/>
  <c r="X90" i="23" s="1"/>
  <c r="Y27" i="8"/>
  <c r="X27" i="23" s="1"/>
  <c r="X79" i="23" s="1"/>
  <c r="Y24" i="8"/>
  <c r="W6" i="13"/>
  <c r="W17" i="13"/>
  <c r="W41" i="13"/>
  <c r="W25" i="13"/>
  <c r="M34" i="8"/>
  <c r="M34" i="23" s="1"/>
  <c r="M86" i="23" s="1"/>
  <c r="M25" i="8"/>
  <c r="M25" i="23" s="1"/>
  <c r="M77" i="23" s="1"/>
  <c r="M22" i="8"/>
  <c r="M22" i="23" s="1"/>
  <c r="M74" i="23" s="1"/>
  <c r="M36" i="8"/>
  <c r="M36" i="23" s="1"/>
  <c r="M88" i="23" s="1"/>
  <c r="M32" i="8"/>
  <c r="M32" i="23" s="1"/>
  <c r="M84" i="23" s="1"/>
  <c r="AB9" i="9"/>
  <c r="AA5" i="13"/>
  <c r="AA43" i="13" s="1"/>
  <c r="Z43" i="13"/>
  <c r="W18" i="12"/>
  <c r="W19" i="13"/>
  <c r="W39" i="13"/>
  <c r="V5" i="8"/>
  <c r="U5" i="23" s="1"/>
  <c r="U57" i="23" s="1"/>
  <c r="M7" i="8"/>
  <c r="M7" i="23" s="1"/>
  <c r="M59" i="23" s="1"/>
  <c r="W53" i="8"/>
  <c r="M50" i="8"/>
  <c r="M50" i="23" s="1"/>
  <c r="M102" i="23" s="1"/>
  <c r="E35" i="5"/>
  <c r="L45" i="13"/>
  <c r="L45" i="10"/>
  <c r="L45" i="12"/>
  <c r="L45" i="11"/>
  <c r="Y48" i="8"/>
  <c r="X48" i="23" s="1"/>
  <c r="X100" i="23" s="1"/>
  <c r="Y19" i="8"/>
  <c r="W11" i="12"/>
  <c r="M53" i="9"/>
  <c r="N43" i="12"/>
  <c r="M51" i="8"/>
  <c r="M51" i="23" s="1"/>
  <c r="M103" i="23" s="1"/>
  <c r="L48" i="10"/>
  <c r="Y10" i="8"/>
  <c r="X10" i="23" s="1"/>
  <c r="X62" i="23" s="1"/>
  <c r="W6" i="12"/>
  <c r="W17" i="12"/>
  <c r="W41" i="12"/>
  <c r="AC53" i="8"/>
  <c r="AD5" i="8"/>
  <c r="M17" i="8"/>
  <c r="M17" i="23" s="1"/>
  <c r="M69" i="23" s="1"/>
  <c r="M29" i="8"/>
  <c r="M29" i="23" s="1"/>
  <c r="M81" i="23" s="1"/>
  <c r="AB44" i="13"/>
  <c r="AB44" i="12"/>
  <c r="X48" i="12" s="1"/>
  <c r="AB44" i="11"/>
  <c r="AB44" i="10"/>
  <c r="Y7" i="8"/>
  <c r="X7" i="23" s="1"/>
  <c r="X59" i="23" s="1"/>
  <c r="Y9" i="8"/>
  <c r="Y46" i="8"/>
  <c r="X46" i="23" s="1"/>
  <c r="X98" i="23" s="1"/>
  <c r="Y50" i="8"/>
  <c r="Y30" i="8"/>
  <c r="AA5" i="12"/>
  <c r="AA43" i="12" s="1"/>
  <c r="Z43" i="12"/>
  <c r="W5" i="13"/>
  <c r="T43" i="13"/>
  <c r="W33" i="13"/>
  <c r="W19" i="12"/>
  <c r="W39" i="12"/>
  <c r="M6" i="8"/>
  <c r="M6" i="23" s="1"/>
  <c r="M58" i="23" s="1"/>
  <c r="V34" i="8"/>
  <c r="V48" i="8"/>
  <c r="V29" i="8"/>
  <c r="V22" i="8"/>
  <c r="U22" i="23" s="1"/>
  <c r="U74" i="23" s="1"/>
  <c r="V23" i="8"/>
  <c r="U23" i="23" s="1"/>
  <c r="U75" i="23" s="1"/>
  <c r="O43" i="13"/>
  <c r="R46" i="8"/>
  <c r="R46" i="23" s="1"/>
  <c r="R98" i="23" s="1"/>
  <c r="R39" i="8"/>
  <c r="R39" i="23" s="1"/>
  <c r="R91" i="23" s="1"/>
  <c r="R33" i="8"/>
  <c r="R33" i="23" s="1"/>
  <c r="R85" i="23" s="1"/>
  <c r="R36" i="8"/>
  <c r="R36" i="23" s="1"/>
  <c r="R88" i="23" s="1"/>
  <c r="R20" i="8"/>
  <c r="R20" i="23" s="1"/>
  <c r="R72" i="23" s="1"/>
  <c r="R23" i="8"/>
  <c r="R30" i="8"/>
  <c r="R30" i="23" s="1"/>
  <c r="R82" i="23" s="1"/>
  <c r="R42" i="8"/>
  <c r="R42" i="23" s="1"/>
  <c r="R94" i="23" s="1"/>
  <c r="R38" i="8"/>
  <c r="R38" i="23" s="1"/>
  <c r="R90" i="23" s="1"/>
  <c r="R50" i="8"/>
  <c r="R50" i="23" s="1"/>
  <c r="R102" i="23" s="1"/>
  <c r="R7" i="8"/>
  <c r="R7" i="23" s="1"/>
  <c r="R59" i="23" s="1"/>
  <c r="R9" i="8"/>
  <c r="R9" i="23" s="1"/>
  <c r="R61" i="23" s="1"/>
  <c r="R22" i="8"/>
  <c r="R17" i="8"/>
  <c r="R17" i="23" s="1"/>
  <c r="R69" i="23" s="1"/>
  <c r="R26" i="8"/>
  <c r="R6" i="8"/>
  <c r="R6" i="23" s="1"/>
  <c r="R58" i="23" s="1"/>
  <c r="R13" i="8"/>
  <c r="R13" i="23" s="1"/>
  <c r="R65" i="23" s="1"/>
  <c r="R12" i="8"/>
  <c r="R12" i="23" s="1"/>
  <c r="R64" i="23" s="1"/>
  <c r="R43" i="8"/>
  <c r="R43" i="23" s="1"/>
  <c r="R95" i="23" s="1"/>
  <c r="R47" i="8"/>
  <c r="R47" i="23" s="1"/>
  <c r="R99" i="23" s="1"/>
  <c r="R51" i="8"/>
  <c r="R51" i="23" s="1"/>
  <c r="R103" i="23" s="1"/>
  <c r="R49" i="8"/>
  <c r="R49" i="23" s="1"/>
  <c r="R101" i="23" s="1"/>
  <c r="R10" i="8"/>
  <c r="R10" i="23" s="1"/>
  <c r="R62" i="23" s="1"/>
  <c r="R18" i="8"/>
  <c r="R18" i="23" s="1"/>
  <c r="R70" i="23" s="1"/>
  <c r="R16" i="8"/>
  <c r="R16" i="23" s="1"/>
  <c r="R68" i="23" s="1"/>
  <c r="R45" i="8"/>
  <c r="R45" i="23" s="1"/>
  <c r="R97" i="23" s="1"/>
  <c r="R37" i="8"/>
  <c r="R37" i="23" s="1"/>
  <c r="R89" i="23" s="1"/>
  <c r="R34" i="8"/>
  <c r="R34" i="23" s="1"/>
  <c r="R86" i="23" s="1"/>
  <c r="R41" i="8"/>
  <c r="R41" i="23" s="1"/>
  <c r="R93" i="23" s="1"/>
  <c r="R11" i="8"/>
  <c r="R11" i="23" s="1"/>
  <c r="R63" i="23" s="1"/>
  <c r="R24" i="8"/>
  <c r="R25" i="8"/>
  <c r="R25" i="23" s="1"/>
  <c r="R77" i="23" s="1"/>
  <c r="R48" i="8"/>
  <c r="R48" i="23" s="1"/>
  <c r="R100" i="23" s="1"/>
  <c r="R44" i="8"/>
  <c r="R44" i="23" s="1"/>
  <c r="R96" i="23" s="1"/>
  <c r="R32" i="8"/>
  <c r="R32" i="23" s="1"/>
  <c r="R84" i="23" s="1"/>
  <c r="R15" i="8"/>
  <c r="R15" i="23" s="1"/>
  <c r="R67" i="23" s="1"/>
  <c r="R29" i="8"/>
  <c r="R27" i="8"/>
  <c r="R35" i="8"/>
  <c r="R35" i="23" s="1"/>
  <c r="R87" i="23" s="1"/>
  <c r="R31" i="8"/>
  <c r="R31" i="23" s="1"/>
  <c r="R83" i="23" s="1"/>
  <c r="R14" i="8"/>
  <c r="R14" i="23" s="1"/>
  <c r="R66" i="23" s="1"/>
  <c r="R5" i="8"/>
  <c r="R5" i="23" s="1"/>
  <c r="R57" i="23" s="1"/>
  <c r="R40" i="8"/>
  <c r="R40" i="23" s="1"/>
  <c r="R92" i="23" s="1"/>
  <c r="R21" i="8"/>
  <c r="R19" i="8"/>
  <c r="R19" i="23" s="1"/>
  <c r="R71" i="23" s="1"/>
  <c r="R8" i="8"/>
  <c r="R8" i="23" s="1"/>
  <c r="R60" i="23" s="1"/>
  <c r="R28" i="8"/>
  <c r="AB42" i="8"/>
  <c r="M47" i="8"/>
  <c r="M47" i="23" s="1"/>
  <c r="M99" i="23" s="1"/>
  <c r="AI53" i="8"/>
  <c r="M12" i="8"/>
  <c r="M12" i="23" s="1"/>
  <c r="M64" i="23" s="1"/>
  <c r="Y53" i="9"/>
  <c r="Y47" i="8"/>
  <c r="Y22" i="8"/>
  <c r="M45" i="8"/>
  <c r="M45" i="23" s="1"/>
  <c r="M97" i="23" s="1"/>
  <c r="V43" i="13"/>
  <c r="M18" i="8"/>
  <c r="M18" i="23" s="1"/>
  <c r="M70" i="23" s="1"/>
  <c r="M26" i="8"/>
  <c r="M26" i="23" s="1"/>
  <c r="M78" i="23" s="1"/>
  <c r="Y11" i="8"/>
  <c r="Y13" i="8"/>
  <c r="Y49" i="8"/>
  <c r="Y26" i="8"/>
  <c r="Y41" i="8"/>
  <c r="W28" i="13"/>
  <c r="W32" i="13"/>
  <c r="W36" i="13"/>
  <c r="M43" i="8"/>
  <c r="M43" i="23" s="1"/>
  <c r="M95" i="23" s="1"/>
  <c r="M10" i="8"/>
  <c r="M10" i="23" s="1"/>
  <c r="M62" i="23" s="1"/>
  <c r="M28" i="8"/>
  <c r="M28" i="23" s="1"/>
  <c r="M80" i="23" s="1"/>
  <c r="AB10" i="8"/>
  <c r="M41" i="8"/>
  <c r="M41" i="23" s="1"/>
  <c r="M93" i="23" s="1"/>
  <c r="M35" i="8"/>
  <c r="M35" i="23" s="1"/>
  <c r="M87" i="23" s="1"/>
  <c r="AA43" i="11"/>
  <c r="W9" i="13"/>
  <c r="W5" i="12"/>
  <c r="T43" i="12"/>
  <c r="W33" i="12"/>
  <c r="W21" i="13"/>
  <c r="W30" i="13"/>
  <c r="M46" i="8"/>
  <c r="M46" i="23" s="1"/>
  <c r="M98" i="23" s="1"/>
  <c r="P43" i="13"/>
  <c r="O43" i="12"/>
  <c r="S35" i="8"/>
  <c r="S31" i="8"/>
  <c r="S14" i="8"/>
  <c r="S5" i="8"/>
  <c r="S17" i="8"/>
  <c r="S26" i="8"/>
  <c r="S40" i="8"/>
  <c r="S21" i="8"/>
  <c r="S19" i="8"/>
  <c r="S8" i="8"/>
  <c r="S28" i="8"/>
  <c r="S23" i="8"/>
  <c r="S45" i="8"/>
  <c r="S37" i="8"/>
  <c r="S34" i="8"/>
  <c r="S41" i="8"/>
  <c r="S11" i="8"/>
  <c r="S24" i="8"/>
  <c r="S25" i="8"/>
  <c r="S48" i="8"/>
  <c r="S44" i="8"/>
  <c r="S32" i="8"/>
  <c r="S15" i="8"/>
  <c r="S29" i="8"/>
  <c r="S27" i="8"/>
  <c r="S6" i="8"/>
  <c r="S13" i="8"/>
  <c r="S12" i="8"/>
  <c r="S43" i="8"/>
  <c r="S47" i="8"/>
  <c r="S51" i="8"/>
  <c r="S49" i="8"/>
  <c r="S10" i="8"/>
  <c r="S18" i="8"/>
  <c r="S16" i="8"/>
  <c r="S46" i="8"/>
  <c r="S39" i="8"/>
  <c r="S33" i="8"/>
  <c r="S36" i="8"/>
  <c r="S20" i="8"/>
  <c r="S30" i="8"/>
  <c r="S42" i="8"/>
  <c r="S38" i="8"/>
  <c r="S50" i="8"/>
  <c r="S7" i="8"/>
  <c r="S9" i="8"/>
  <c r="S22" i="8"/>
  <c r="AB46" i="8"/>
  <c r="O53" i="8"/>
  <c r="M23" i="8"/>
  <c r="M23" i="23" s="1"/>
  <c r="M75" i="23" s="1"/>
  <c r="E10" i="5"/>
  <c r="N57" i="6"/>
  <c r="F10" i="5"/>
  <c r="N58" i="6"/>
  <c r="D47" i="5"/>
  <c r="D29" i="5"/>
  <c r="F29" i="5"/>
  <c r="AB38" i="8" l="1"/>
  <c r="AB36" i="8"/>
  <c r="AB7" i="8"/>
  <c r="AB12" i="8"/>
  <c r="E42" i="5"/>
  <c r="E21" i="5"/>
  <c r="AB25" i="8"/>
  <c r="AD53" i="8"/>
  <c r="AB45" i="8"/>
  <c r="AB27" i="8"/>
  <c r="AB17" i="8"/>
  <c r="AB20" i="8"/>
  <c r="B11" i="25"/>
  <c r="Q11" i="25"/>
  <c r="H7" i="26"/>
  <c r="H13" i="26" s="1"/>
  <c r="L15" i="26"/>
  <c r="L14" i="26"/>
  <c r="AB26" i="8"/>
  <c r="X26" i="23"/>
  <c r="X78" i="23" s="1"/>
  <c r="AB47" i="8"/>
  <c r="X47" i="23"/>
  <c r="X99" i="23" s="1"/>
  <c r="H9" i="25"/>
  <c r="H7" i="25"/>
  <c r="H13" i="25" s="1"/>
  <c r="H11" i="25"/>
  <c r="AB30" i="8"/>
  <c r="X30" i="23"/>
  <c r="X82" i="23" s="1"/>
  <c r="AB37" i="8"/>
  <c r="X37" i="23"/>
  <c r="X89" i="23" s="1"/>
  <c r="AB28" i="8"/>
  <c r="AB40" i="8"/>
  <c r="AB6" i="8"/>
  <c r="X6" i="23"/>
  <c r="X58" i="23" s="1"/>
  <c r="AB31" i="8"/>
  <c r="X31" i="23"/>
  <c r="X83" i="23" s="1"/>
  <c r="AB14" i="8"/>
  <c r="X14" i="23"/>
  <c r="X66" i="23" s="1"/>
  <c r="M15" i="25"/>
  <c r="M14" i="25"/>
  <c r="B9" i="25"/>
  <c r="Q7" i="25"/>
  <c r="Q13" i="25" s="1"/>
  <c r="F15" i="26"/>
  <c r="F14" i="26"/>
  <c r="E15" i="26"/>
  <c r="E14" i="26"/>
  <c r="L7" i="26"/>
  <c r="L13" i="26" s="1"/>
  <c r="AB22" i="8"/>
  <c r="X22" i="23"/>
  <c r="X74" i="23" s="1"/>
  <c r="AB49" i="8"/>
  <c r="X49" i="23"/>
  <c r="X101" i="23" s="1"/>
  <c r="AB29" i="8"/>
  <c r="U29" i="23"/>
  <c r="U81" i="23" s="1"/>
  <c r="AB50" i="8"/>
  <c r="X50" i="23"/>
  <c r="X102" i="23" s="1"/>
  <c r="K9" i="25"/>
  <c r="K11" i="25"/>
  <c r="AB21" i="8"/>
  <c r="X21" i="23"/>
  <c r="X73" i="23" s="1"/>
  <c r="AB44" i="8"/>
  <c r="AB33" i="8"/>
  <c r="X33" i="23"/>
  <c r="X85" i="23" s="1"/>
  <c r="AB32" i="8"/>
  <c r="X32" i="23"/>
  <c r="X84" i="23" s="1"/>
  <c r="AB51" i="8"/>
  <c r="X51" i="23"/>
  <c r="X103" i="23" s="1"/>
  <c r="AB39" i="8"/>
  <c r="X39" i="23"/>
  <c r="X91" i="23" s="1"/>
  <c r="I15" i="26"/>
  <c r="I14" i="26"/>
  <c r="T15" i="25"/>
  <c r="T14" i="25"/>
  <c r="Q9" i="25"/>
  <c r="L11" i="26"/>
  <c r="AB48" i="8"/>
  <c r="U48" i="23"/>
  <c r="U100" i="23" s="1"/>
  <c r="AB19" i="8"/>
  <c r="X19" i="23"/>
  <c r="X71" i="23" s="1"/>
  <c r="AB24" i="8"/>
  <c r="X24" i="23"/>
  <c r="X76" i="23" s="1"/>
  <c r="AB35" i="8"/>
  <c r="X35" i="23"/>
  <c r="X87" i="23" s="1"/>
  <c r="F9" i="25"/>
  <c r="F11" i="25"/>
  <c r="F7" i="25"/>
  <c r="F13" i="25" s="1"/>
  <c r="E15" i="25"/>
  <c r="E14" i="25"/>
  <c r="J15" i="25"/>
  <c r="J14" i="25"/>
  <c r="L15" i="25"/>
  <c r="L14" i="25"/>
  <c r="AB13" i="8"/>
  <c r="X13" i="23"/>
  <c r="X65" i="23" s="1"/>
  <c r="AB41" i="8"/>
  <c r="X41" i="23"/>
  <c r="X93" i="23" s="1"/>
  <c r="AB11" i="8"/>
  <c r="X11" i="23"/>
  <c r="X63" i="23" s="1"/>
  <c r="AB34" i="8"/>
  <c r="U34" i="23"/>
  <c r="U86" i="23" s="1"/>
  <c r="AB9" i="8"/>
  <c r="X9" i="23"/>
  <c r="X61" i="23" s="1"/>
  <c r="N9" i="25" s="1"/>
  <c r="AB18" i="8"/>
  <c r="AB43" i="8"/>
  <c r="U43" i="23"/>
  <c r="U95" i="23" s="1"/>
  <c r="AB16" i="8"/>
  <c r="X16" i="23"/>
  <c r="X68" i="23" s="1"/>
  <c r="C9" i="25"/>
  <c r="C11" i="25"/>
  <c r="C7" i="25"/>
  <c r="C13" i="25" s="1"/>
  <c r="G15" i="25"/>
  <c r="G14" i="25"/>
  <c r="U15" i="25"/>
  <c r="U14" i="25"/>
  <c r="D15" i="26"/>
  <c r="D14" i="26"/>
  <c r="H15" i="26"/>
  <c r="H14" i="26"/>
  <c r="J15" i="26"/>
  <c r="J14" i="26"/>
  <c r="M53" i="8"/>
  <c r="AB23" i="8"/>
  <c r="AB53" i="9"/>
  <c r="AB8" i="8"/>
  <c r="W43" i="13"/>
  <c r="AM58" i="6"/>
  <c r="AM56" i="9"/>
  <c r="AM56" i="8"/>
  <c r="AM56" i="7"/>
  <c r="T58" i="6"/>
  <c r="T56" i="9"/>
  <c r="T56" i="8"/>
  <c r="T56" i="7"/>
  <c r="W43" i="12"/>
  <c r="R53" i="8"/>
  <c r="S58" i="8" s="1"/>
  <c r="AB15" i="8"/>
  <c r="AM56" i="6"/>
  <c r="AM54" i="9"/>
  <c r="AM54" i="7"/>
  <c r="AM54" i="8" s="1"/>
  <c r="S53" i="8"/>
  <c r="V53" i="8"/>
  <c r="AB5" i="8"/>
  <c r="F46" i="5"/>
  <c r="Q46" i="13"/>
  <c r="Q46" i="12"/>
  <c r="Q46" i="10"/>
  <c r="Q46" i="11"/>
  <c r="L10" i="11"/>
  <c r="L9" i="11"/>
  <c r="L8" i="11"/>
  <c r="L7" i="11"/>
  <c r="L6" i="11"/>
  <c r="L5" i="11"/>
  <c r="L15" i="11"/>
  <c r="L17" i="11"/>
  <c r="L33" i="11"/>
  <c r="L26" i="11"/>
  <c r="L19" i="11"/>
  <c r="L35" i="11"/>
  <c r="L11" i="11"/>
  <c r="L32" i="11"/>
  <c r="L21" i="11"/>
  <c r="L37" i="11"/>
  <c r="L13" i="11"/>
  <c r="L30" i="11"/>
  <c r="L23" i="11"/>
  <c r="L39" i="11"/>
  <c r="L16" i="11"/>
  <c r="L36" i="11"/>
  <c r="L25" i="11"/>
  <c r="L41" i="11"/>
  <c r="L18" i="11"/>
  <c r="L34" i="11"/>
  <c r="L27" i="11"/>
  <c r="L20" i="11"/>
  <c r="L24" i="11"/>
  <c r="L12" i="11"/>
  <c r="L29" i="11"/>
  <c r="L22" i="11"/>
  <c r="L38" i="11"/>
  <c r="L14" i="11"/>
  <c r="L31" i="11"/>
  <c r="L40" i="11"/>
  <c r="L28" i="11"/>
  <c r="Y53" i="8"/>
  <c r="T57" i="6"/>
  <c r="T55" i="9"/>
  <c r="T55" i="8"/>
  <c r="T55" i="7"/>
  <c r="Q45" i="13"/>
  <c r="Q45" i="12"/>
  <c r="Q45" i="10"/>
  <c r="Q45" i="11"/>
  <c r="F47" i="5"/>
  <c r="K7" i="25" l="1"/>
  <c r="K13" i="25" s="1"/>
  <c r="N7" i="25"/>
  <c r="N13" i="25" s="1"/>
  <c r="N11" i="25"/>
  <c r="N15" i="25"/>
  <c r="N14" i="25"/>
  <c r="H15" i="25"/>
  <c r="H14" i="25"/>
  <c r="C15" i="25"/>
  <c r="C14" i="25"/>
  <c r="F15" i="25"/>
  <c r="F14" i="25"/>
  <c r="K15" i="25"/>
  <c r="K14" i="25"/>
  <c r="Q15" i="25"/>
  <c r="Q14" i="25"/>
  <c r="B15" i="25"/>
  <c r="B14" i="25"/>
  <c r="L40" i="12"/>
  <c r="Q40" i="12" s="1"/>
  <c r="L40" i="13"/>
  <c r="Q40" i="13" s="1"/>
  <c r="Q40" i="11"/>
  <c r="AB40" i="11" s="1"/>
  <c r="L29" i="12"/>
  <c r="Q29" i="12" s="1"/>
  <c r="L29" i="13"/>
  <c r="Q29" i="13" s="1"/>
  <c r="Q29" i="11"/>
  <c r="AB29" i="11" s="1"/>
  <c r="L5" i="12"/>
  <c r="L5" i="24" s="1"/>
  <c r="L47" i="24" s="1"/>
  <c r="L43" i="11"/>
  <c r="L5" i="13"/>
  <c r="Q5" i="11"/>
  <c r="L9" i="12"/>
  <c r="Q9" i="12" s="1"/>
  <c r="L9" i="13"/>
  <c r="Q9" i="13" s="1"/>
  <c r="Q9" i="11"/>
  <c r="AB9" i="11" s="1"/>
  <c r="AB53" i="8"/>
  <c r="AE55" i="9"/>
  <c r="AE55" i="8"/>
  <c r="AO54" i="8" s="1"/>
  <c r="AE55" i="7"/>
  <c r="L28" i="12"/>
  <c r="Q28" i="12" s="1"/>
  <c r="L28" i="13"/>
  <c r="Q28" i="13" s="1"/>
  <c r="Q28" i="11"/>
  <c r="AB28" i="11" s="1"/>
  <c r="L38" i="12"/>
  <c r="Q38" i="12" s="1"/>
  <c r="L38" i="13"/>
  <c r="Q38" i="13" s="1"/>
  <c r="Q38" i="11"/>
  <c r="AB38" i="11" s="1"/>
  <c r="L24" i="12"/>
  <c r="Q24" i="12" s="1"/>
  <c r="L24" i="13"/>
  <c r="Q24" i="13" s="1"/>
  <c r="Q24" i="11"/>
  <c r="AB24" i="11" s="1"/>
  <c r="L18" i="12"/>
  <c r="Q18" i="12" s="1"/>
  <c r="L18" i="13"/>
  <c r="Q18" i="13" s="1"/>
  <c r="Q18" i="11"/>
  <c r="AB18" i="11" s="1"/>
  <c r="L16" i="12"/>
  <c r="Q16" i="12" s="1"/>
  <c r="L16" i="13"/>
  <c r="Q16" i="13" s="1"/>
  <c r="Q16" i="11"/>
  <c r="AB16" i="11" s="1"/>
  <c r="L13" i="12"/>
  <c r="Q13" i="12" s="1"/>
  <c r="L13" i="13"/>
  <c r="Q13" i="13" s="1"/>
  <c r="Q13" i="11"/>
  <c r="AB13" i="11" s="1"/>
  <c r="L11" i="12"/>
  <c r="Q11" i="12" s="1"/>
  <c r="L11" i="13"/>
  <c r="Q11" i="13" s="1"/>
  <c r="Q11" i="11"/>
  <c r="AB11" i="11" s="1"/>
  <c r="L33" i="12"/>
  <c r="Q33" i="12" s="1"/>
  <c r="L33" i="13"/>
  <c r="Q33" i="13" s="1"/>
  <c r="Q33" i="11"/>
  <c r="AB33" i="11" s="1"/>
  <c r="L6" i="12"/>
  <c r="Q6" i="12" s="1"/>
  <c r="L6" i="13"/>
  <c r="Q6" i="13" s="1"/>
  <c r="Q6" i="11"/>
  <c r="AB6" i="11" s="1"/>
  <c r="L10" i="12"/>
  <c r="Q10" i="12" s="1"/>
  <c r="L10" i="13"/>
  <c r="Q10" i="13" s="1"/>
  <c r="Q10" i="11"/>
  <c r="AB10" i="11" s="1"/>
  <c r="E43" i="5"/>
  <c r="X45" i="13"/>
  <c r="X45" i="12"/>
  <c r="X45" i="11"/>
  <c r="X48" i="11" s="1"/>
  <c r="X45" i="10"/>
  <c r="L20" i="12"/>
  <c r="Q20" i="12" s="1"/>
  <c r="L20" i="13"/>
  <c r="Q20" i="13" s="1"/>
  <c r="Q20" i="11"/>
  <c r="AB20" i="11" s="1"/>
  <c r="L37" i="12"/>
  <c r="Q37" i="12" s="1"/>
  <c r="L37" i="13"/>
  <c r="Q37" i="13" s="1"/>
  <c r="Q37" i="11"/>
  <c r="AB37" i="11" s="1"/>
  <c r="L7" i="12"/>
  <c r="Q7" i="12" s="1"/>
  <c r="L7" i="13"/>
  <c r="Q7" i="13" s="1"/>
  <c r="Q7" i="11"/>
  <c r="AB7" i="11" s="1"/>
  <c r="L41" i="12"/>
  <c r="Q41" i="12" s="1"/>
  <c r="L41" i="13"/>
  <c r="Q41" i="13" s="1"/>
  <c r="Q41" i="11"/>
  <c r="AB41" i="11" s="1"/>
  <c r="L31" i="12"/>
  <c r="Q31" i="12" s="1"/>
  <c r="L31" i="13"/>
  <c r="Q31" i="13" s="1"/>
  <c r="Q31" i="11"/>
  <c r="AB31" i="11" s="1"/>
  <c r="L27" i="12"/>
  <c r="Q27" i="12" s="1"/>
  <c r="L27" i="13"/>
  <c r="Q27" i="13" s="1"/>
  <c r="Q27" i="11"/>
  <c r="AB27" i="11" s="1"/>
  <c r="L25" i="12"/>
  <c r="Q25" i="12" s="1"/>
  <c r="L25" i="13"/>
  <c r="Q25" i="13" s="1"/>
  <c r="Q25" i="11"/>
  <c r="AB25" i="11" s="1"/>
  <c r="L23" i="12"/>
  <c r="Q23" i="12" s="1"/>
  <c r="L23" i="13"/>
  <c r="Q23" i="13" s="1"/>
  <c r="Q23" i="11"/>
  <c r="AB23" i="11" s="1"/>
  <c r="L21" i="12"/>
  <c r="Q21" i="12" s="1"/>
  <c r="L21" i="13"/>
  <c r="Q21" i="13" s="1"/>
  <c r="Q21" i="11"/>
  <c r="AB21" i="11" s="1"/>
  <c r="L19" i="12"/>
  <c r="Q19" i="12" s="1"/>
  <c r="L19" i="13"/>
  <c r="Q19" i="13" s="1"/>
  <c r="Q19" i="11"/>
  <c r="AB19" i="11" s="1"/>
  <c r="L15" i="12"/>
  <c r="Q15" i="12" s="1"/>
  <c r="L15" i="13"/>
  <c r="Q15" i="13" s="1"/>
  <c r="Q15" i="11"/>
  <c r="AB15" i="11" s="1"/>
  <c r="L8" i="12"/>
  <c r="Q8" i="12" s="1"/>
  <c r="L8" i="13"/>
  <c r="Q8" i="13" s="1"/>
  <c r="Q8" i="11"/>
  <c r="AB8" i="11" s="1"/>
  <c r="AB46" i="13"/>
  <c r="AB46" i="11"/>
  <c r="AB46" i="10"/>
  <c r="AB46" i="12"/>
  <c r="S41" i="9"/>
  <c r="S41" i="23" s="1"/>
  <c r="S93" i="23" s="1"/>
  <c r="S24" i="9"/>
  <c r="S24" i="23" s="1"/>
  <c r="S76" i="23" s="1"/>
  <c r="S25" i="9"/>
  <c r="S25" i="23" s="1"/>
  <c r="S77" i="23" s="1"/>
  <c r="S51" i="9"/>
  <c r="S51" i="23" s="1"/>
  <c r="S103" i="23" s="1"/>
  <c r="S49" i="9"/>
  <c r="S49" i="23" s="1"/>
  <c r="S101" i="23" s="1"/>
  <c r="S15" i="9"/>
  <c r="S15" i="23" s="1"/>
  <c r="S67" i="23" s="1"/>
  <c r="S16" i="9"/>
  <c r="S16" i="23" s="1"/>
  <c r="S68" i="23" s="1"/>
  <c r="S27" i="9"/>
  <c r="S27" i="23" s="1"/>
  <c r="S79" i="23" s="1"/>
  <c r="S43" i="9"/>
  <c r="S43" i="23" s="1"/>
  <c r="S95" i="23" s="1"/>
  <c r="S11" i="9"/>
  <c r="S11" i="23" s="1"/>
  <c r="S63" i="23" s="1"/>
  <c r="S47" i="9"/>
  <c r="S47" i="23" s="1"/>
  <c r="S99" i="23" s="1"/>
  <c r="S48" i="9"/>
  <c r="S48" i="23" s="1"/>
  <c r="S100" i="23" s="1"/>
  <c r="S44" i="9"/>
  <c r="S44" i="23" s="1"/>
  <c r="S96" i="23" s="1"/>
  <c r="S32" i="9"/>
  <c r="S32" i="23" s="1"/>
  <c r="S84" i="23" s="1"/>
  <c r="S10" i="9"/>
  <c r="S10" i="23" s="1"/>
  <c r="S62" i="23" s="1"/>
  <c r="S29" i="9"/>
  <c r="S29" i="23" s="1"/>
  <c r="S81" i="23" s="1"/>
  <c r="S18" i="9"/>
  <c r="S18" i="23" s="1"/>
  <c r="S70" i="23" s="1"/>
  <c r="S46" i="9"/>
  <c r="S46" i="23" s="1"/>
  <c r="S98" i="23" s="1"/>
  <c r="S39" i="9"/>
  <c r="S39" i="23" s="1"/>
  <c r="S91" i="23" s="1"/>
  <c r="S33" i="9"/>
  <c r="S33" i="23" s="1"/>
  <c r="S85" i="23" s="1"/>
  <c r="S31" i="9"/>
  <c r="S31" i="23" s="1"/>
  <c r="S83" i="23" s="1"/>
  <c r="S36" i="9"/>
  <c r="S36" i="23" s="1"/>
  <c r="S88" i="23" s="1"/>
  <c r="S20" i="9"/>
  <c r="S20" i="23" s="1"/>
  <c r="S72" i="23" s="1"/>
  <c r="S14" i="9"/>
  <c r="S14" i="23" s="1"/>
  <c r="S66" i="23" s="1"/>
  <c r="S30" i="9"/>
  <c r="S30" i="23" s="1"/>
  <c r="S82" i="23" s="1"/>
  <c r="S38" i="9"/>
  <c r="S38" i="23" s="1"/>
  <c r="S90" i="23" s="1"/>
  <c r="S40" i="9"/>
  <c r="S40" i="23" s="1"/>
  <c r="S92" i="23" s="1"/>
  <c r="S50" i="9"/>
  <c r="S50" i="23" s="1"/>
  <c r="S102" i="23" s="1"/>
  <c r="S7" i="9"/>
  <c r="S7" i="23" s="1"/>
  <c r="S59" i="23" s="1"/>
  <c r="S19" i="9"/>
  <c r="S19" i="23" s="1"/>
  <c r="S71" i="23" s="1"/>
  <c r="S9" i="9"/>
  <c r="S9" i="23" s="1"/>
  <c r="S61" i="23" s="1"/>
  <c r="S8" i="9"/>
  <c r="S8" i="23" s="1"/>
  <c r="S60" i="23" s="1"/>
  <c r="S22" i="9"/>
  <c r="S22" i="23" s="1"/>
  <c r="S74" i="23" s="1"/>
  <c r="S35" i="9"/>
  <c r="S35" i="23" s="1"/>
  <c r="S87" i="23" s="1"/>
  <c r="S5" i="9"/>
  <c r="S5" i="23" s="1"/>
  <c r="S57" i="23" s="1"/>
  <c r="S17" i="9"/>
  <c r="S17" i="23" s="1"/>
  <c r="S69" i="23" s="1"/>
  <c r="S26" i="9"/>
  <c r="S26" i="23" s="1"/>
  <c r="S78" i="23" s="1"/>
  <c r="S42" i="9"/>
  <c r="S42" i="23" s="1"/>
  <c r="S94" i="23" s="1"/>
  <c r="S21" i="9"/>
  <c r="S21" i="23" s="1"/>
  <c r="S73" i="23" s="1"/>
  <c r="S28" i="9"/>
  <c r="S28" i="23" s="1"/>
  <c r="S80" i="23" s="1"/>
  <c r="S23" i="9"/>
  <c r="S23" i="23" s="1"/>
  <c r="S75" i="23" s="1"/>
  <c r="S45" i="9"/>
  <c r="S45" i="23" s="1"/>
  <c r="S97" i="23" s="1"/>
  <c r="S37" i="9"/>
  <c r="S37" i="23" s="1"/>
  <c r="S89" i="23" s="1"/>
  <c r="S34" i="9"/>
  <c r="S34" i="23" s="1"/>
  <c r="S86" i="23" s="1"/>
  <c r="S6" i="9"/>
  <c r="S6" i="23" s="1"/>
  <c r="S58" i="23" s="1"/>
  <c r="S12" i="9"/>
  <c r="S12" i="23" s="1"/>
  <c r="S64" i="23" s="1"/>
  <c r="S13" i="9"/>
  <c r="S13" i="23" s="1"/>
  <c r="S65" i="23" s="1"/>
  <c r="L22" i="12"/>
  <c r="Q22" i="12" s="1"/>
  <c r="L22" i="13"/>
  <c r="Q22" i="13" s="1"/>
  <c r="Q22" i="11"/>
  <c r="AB22" i="11" s="1"/>
  <c r="L39" i="12"/>
  <c r="Q39" i="12" s="1"/>
  <c r="L39" i="13"/>
  <c r="Q39" i="13" s="1"/>
  <c r="Q39" i="11"/>
  <c r="AB39" i="11" s="1"/>
  <c r="L35" i="12"/>
  <c r="Q35" i="12" s="1"/>
  <c r="L35" i="13"/>
  <c r="Q35" i="13" s="1"/>
  <c r="Q35" i="11"/>
  <c r="AB35" i="11" s="1"/>
  <c r="L17" i="12"/>
  <c r="Q17" i="12" s="1"/>
  <c r="L17" i="13"/>
  <c r="Q17" i="13" s="1"/>
  <c r="Q17" i="11"/>
  <c r="AB17" i="11" s="1"/>
  <c r="L14" i="12"/>
  <c r="Q14" i="12" s="1"/>
  <c r="L14" i="13"/>
  <c r="Q14" i="13" s="1"/>
  <c r="Q14" i="11"/>
  <c r="AB14" i="11" s="1"/>
  <c r="L12" i="12"/>
  <c r="Q12" i="12" s="1"/>
  <c r="L12" i="13"/>
  <c r="Q12" i="13" s="1"/>
  <c r="Q12" i="11"/>
  <c r="AB12" i="11" s="1"/>
  <c r="L34" i="12"/>
  <c r="Q34" i="12" s="1"/>
  <c r="L34" i="13"/>
  <c r="Q34" i="13" s="1"/>
  <c r="Q34" i="11"/>
  <c r="AB34" i="11" s="1"/>
  <c r="L36" i="12"/>
  <c r="Q36" i="12" s="1"/>
  <c r="L36" i="13"/>
  <c r="Q36" i="13" s="1"/>
  <c r="Q36" i="11"/>
  <c r="AB36" i="11" s="1"/>
  <c r="L30" i="12"/>
  <c r="Q30" i="12" s="1"/>
  <c r="L30" i="13"/>
  <c r="Q30" i="13" s="1"/>
  <c r="Q30" i="11"/>
  <c r="AB30" i="11" s="1"/>
  <c r="L32" i="12"/>
  <c r="Q32" i="12" s="1"/>
  <c r="L32" i="13"/>
  <c r="Q32" i="13" s="1"/>
  <c r="Q32" i="11"/>
  <c r="AB32" i="11" s="1"/>
  <c r="L26" i="12"/>
  <c r="Q26" i="12" s="1"/>
  <c r="L26" i="13"/>
  <c r="Q26" i="13" s="1"/>
  <c r="Q26" i="11"/>
  <c r="AB26" i="11" s="1"/>
  <c r="E23" i="5"/>
  <c r="AE57" i="6"/>
  <c r="E47" i="5"/>
  <c r="H47" i="5" s="1"/>
  <c r="L21" i="24" l="1"/>
  <c r="L63" i="24" s="1"/>
  <c r="L29" i="24"/>
  <c r="L71" i="24" s="1"/>
  <c r="L35" i="24"/>
  <c r="L77" i="24" s="1"/>
  <c r="L40" i="24"/>
  <c r="L82" i="24" s="1"/>
  <c r="L33" i="24"/>
  <c r="L75" i="24" s="1"/>
  <c r="L18" i="24"/>
  <c r="L60" i="24" s="1"/>
  <c r="L26" i="24"/>
  <c r="L68" i="24" s="1"/>
  <c r="L34" i="24"/>
  <c r="L76" i="24" s="1"/>
  <c r="L8" i="24"/>
  <c r="L50" i="24" s="1"/>
  <c r="L23" i="24"/>
  <c r="L65" i="24" s="1"/>
  <c r="L31" i="24"/>
  <c r="L73" i="24" s="1"/>
  <c r="L39" i="24"/>
  <c r="L81" i="24" s="1"/>
  <c r="L14" i="24"/>
  <c r="L56" i="24" s="1"/>
  <c r="L11" i="24"/>
  <c r="L53" i="24" s="1"/>
  <c r="L24" i="24"/>
  <c r="L66" i="24" s="1"/>
  <c r="L32" i="24"/>
  <c r="L74" i="24" s="1"/>
  <c r="L12" i="24"/>
  <c r="L54" i="24" s="1"/>
  <c r="I9" i="25"/>
  <c r="I11" i="25"/>
  <c r="I7" i="25"/>
  <c r="I13" i="25" s="1"/>
  <c r="L15" i="24"/>
  <c r="L57" i="24" s="1"/>
  <c r="L25" i="24"/>
  <c r="L67" i="24" s="1"/>
  <c r="L7" i="24"/>
  <c r="L49" i="24" s="1"/>
  <c r="L41" i="24"/>
  <c r="L83" i="24" s="1"/>
  <c r="L37" i="24"/>
  <c r="L79" i="24" s="1"/>
  <c r="L10" i="24"/>
  <c r="L52" i="24" s="1"/>
  <c r="L13" i="24"/>
  <c r="L55" i="24" s="1"/>
  <c r="L38" i="24"/>
  <c r="L80" i="24" s="1"/>
  <c r="L9" i="24"/>
  <c r="L51" i="24" s="1"/>
  <c r="L30" i="24"/>
  <c r="L72" i="24" s="1"/>
  <c r="L19" i="24"/>
  <c r="L61" i="24" s="1"/>
  <c r="L27" i="24"/>
  <c r="L69" i="24" s="1"/>
  <c r="L17" i="24"/>
  <c r="L59" i="24" s="1"/>
  <c r="L22" i="24"/>
  <c r="L64" i="24" s="1"/>
  <c r="L20" i="24"/>
  <c r="L62" i="24" s="1"/>
  <c r="L6" i="24"/>
  <c r="L48" i="24" s="1"/>
  <c r="B9" i="26" s="1"/>
  <c r="L16" i="24"/>
  <c r="L58" i="24" s="1"/>
  <c r="L28" i="24"/>
  <c r="L70" i="24" s="1"/>
  <c r="L36" i="24"/>
  <c r="L78" i="24" s="1"/>
  <c r="AG57" i="6"/>
  <c r="AG55" i="9"/>
  <c r="AG55" i="8"/>
  <c r="AG55" i="7"/>
  <c r="X26" i="12"/>
  <c r="Y26" i="12" s="1"/>
  <c r="AB26" i="12" s="1"/>
  <c r="X26" i="13"/>
  <c r="X34" i="12"/>
  <c r="Y34" i="12" s="1"/>
  <c r="X34" i="13"/>
  <c r="X35" i="12"/>
  <c r="Y35" i="12" s="1"/>
  <c r="AB35" i="12" s="1"/>
  <c r="X35" i="13"/>
  <c r="X8" i="12"/>
  <c r="Y8" i="12" s="1"/>
  <c r="AB8" i="12" s="1"/>
  <c r="X8" i="13"/>
  <c r="X23" i="12"/>
  <c r="Y23" i="12" s="1"/>
  <c r="AB23" i="12" s="1"/>
  <c r="X23" i="13"/>
  <c r="X41" i="12"/>
  <c r="Y41" i="12" s="1"/>
  <c r="X41" i="13"/>
  <c r="E46" i="5"/>
  <c r="Y45" i="13"/>
  <c r="Y45" i="12"/>
  <c r="Y45" i="10"/>
  <c r="Y45" i="11"/>
  <c r="X6" i="12"/>
  <c r="Y6" i="12" s="1"/>
  <c r="X6" i="13"/>
  <c r="X16" i="12"/>
  <c r="Y16" i="12" s="1"/>
  <c r="X16" i="13"/>
  <c r="X28" i="12"/>
  <c r="Y28" i="12" s="1"/>
  <c r="X28" i="13"/>
  <c r="X30" i="12"/>
  <c r="Y30" i="12" s="1"/>
  <c r="AB30" i="12" s="1"/>
  <c r="X30" i="13"/>
  <c r="X36" i="12"/>
  <c r="Y36" i="12" s="1"/>
  <c r="AB36" i="12" s="1"/>
  <c r="X36" i="13"/>
  <c r="X17" i="12"/>
  <c r="Y17" i="12" s="1"/>
  <c r="X17" i="13"/>
  <c r="S53" i="9"/>
  <c r="X21" i="12"/>
  <c r="Y21" i="12" s="1"/>
  <c r="X21" i="13"/>
  <c r="X31" i="12"/>
  <c r="Y31" i="12" s="1"/>
  <c r="AB31" i="12" s="1"/>
  <c r="X31" i="13"/>
  <c r="X20" i="12"/>
  <c r="Y20" i="12" s="1"/>
  <c r="X20" i="13"/>
  <c r="X10" i="12"/>
  <c r="Y10" i="12" s="1"/>
  <c r="X10" i="13"/>
  <c r="X13" i="12"/>
  <c r="Y13" i="12" s="1"/>
  <c r="X13" i="13"/>
  <c r="X38" i="12"/>
  <c r="Y38" i="12" s="1"/>
  <c r="AB38" i="12" s="1"/>
  <c r="X38" i="13"/>
  <c r="Q5" i="12"/>
  <c r="L43" i="12"/>
  <c r="X40" i="12"/>
  <c r="Y40" i="12" s="1"/>
  <c r="AB40" i="12" s="1"/>
  <c r="X40" i="13"/>
  <c r="AB34" i="12"/>
  <c r="X19" i="12"/>
  <c r="Y19" i="12" s="1"/>
  <c r="AB19" i="12" s="1"/>
  <c r="X19" i="13"/>
  <c r="X27" i="12"/>
  <c r="Y27" i="12" s="1"/>
  <c r="AB27" i="12" s="1"/>
  <c r="X27" i="13"/>
  <c r="AB41" i="12"/>
  <c r="X37" i="12"/>
  <c r="Y37" i="12" s="1"/>
  <c r="AB37" i="12" s="1"/>
  <c r="X37" i="13"/>
  <c r="AB6" i="12"/>
  <c r="X11" i="12"/>
  <c r="Y11" i="12" s="1"/>
  <c r="AB11" i="12" s="1"/>
  <c r="X11" i="13"/>
  <c r="AB16" i="12"/>
  <c r="X24" i="12"/>
  <c r="Y24" i="12" s="1"/>
  <c r="AB24" i="12" s="1"/>
  <c r="X24" i="13"/>
  <c r="AB28" i="12"/>
  <c r="AB5" i="11"/>
  <c r="Q43" i="11"/>
  <c r="X29" i="12"/>
  <c r="Y29" i="12" s="1"/>
  <c r="AB29" i="12" s="1"/>
  <c r="X29" i="13"/>
  <c r="X14" i="12"/>
  <c r="Y14" i="12" s="1"/>
  <c r="AB14" i="12" s="1"/>
  <c r="X14" i="13"/>
  <c r="X22" i="12"/>
  <c r="Y22" i="12" s="1"/>
  <c r="AB22" i="12" s="1"/>
  <c r="X22" i="13"/>
  <c r="X32" i="12"/>
  <c r="Y32" i="12" s="1"/>
  <c r="AB32" i="12" s="1"/>
  <c r="X32" i="13"/>
  <c r="X12" i="12"/>
  <c r="Y12" i="12" s="1"/>
  <c r="AB12" i="12" s="1"/>
  <c r="X12" i="13"/>
  <c r="AB17" i="12"/>
  <c r="X39" i="12"/>
  <c r="Y39" i="12" s="1"/>
  <c r="AB39" i="12" s="1"/>
  <c r="X39" i="13"/>
  <c r="X15" i="12"/>
  <c r="Y15" i="12" s="1"/>
  <c r="AB15" i="12" s="1"/>
  <c r="X15" i="13"/>
  <c r="AB21" i="12"/>
  <c r="X25" i="12"/>
  <c r="Y25" i="12" s="1"/>
  <c r="AB25" i="12" s="1"/>
  <c r="X25" i="13"/>
  <c r="X7" i="12"/>
  <c r="Y7" i="12" s="1"/>
  <c r="AB7" i="12" s="1"/>
  <c r="X7" i="13"/>
  <c r="AB20" i="12"/>
  <c r="AB10" i="12"/>
  <c r="X33" i="12"/>
  <c r="Y33" i="12" s="1"/>
  <c r="AB33" i="12" s="1"/>
  <c r="X33" i="13"/>
  <c r="AB13" i="12"/>
  <c r="X18" i="12"/>
  <c r="Y18" i="12" s="1"/>
  <c r="AB18" i="12" s="1"/>
  <c r="X18" i="13"/>
  <c r="X9" i="12"/>
  <c r="Y9" i="12" s="1"/>
  <c r="AB9" i="12" s="1"/>
  <c r="X9" i="13"/>
  <c r="L43" i="13"/>
  <c r="Q5" i="13"/>
  <c r="E29" i="5"/>
  <c r="B15" i="26" l="1"/>
  <c r="B14" i="26"/>
  <c r="B11" i="26"/>
  <c r="B7" i="26"/>
  <c r="B13" i="26" s="1"/>
  <c r="I15" i="25"/>
  <c r="I14" i="25"/>
  <c r="Y15" i="13"/>
  <c r="AB15" i="13" s="1"/>
  <c r="S8" i="28" s="1"/>
  <c r="U15" i="24"/>
  <c r="U57" i="24" s="1"/>
  <c r="Y11" i="13"/>
  <c r="AB11" i="13" s="1"/>
  <c r="S11" i="28" s="1"/>
  <c r="U11" i="24"/>
  <c r="U53" i="24" s="1"/>
  <c r="Y36" i="13"/>
  <c r="AB36" i="13" s="1"/>
  <c r="S28" i="28" s="1"/>
  <c r="U36" i="24"/>
  <c r="U78" i="24" s="1"/>
  <c r="Y41" i="13"/>
  <c r="AB41" i="13" s="1"/>
  <c r="S33" i="28" s="1"/>
  <c r="U41" i="24"/>
  <c r="U83" i="24" s="1"/>
  <c r="Y25" i="13"/>
  <c r="AB25" i="13" s="1"/>
  <c r="S18" i="28" s="1"/>
  <c r="U25" i="24"/>
  <c r="U67" i="24" s="1"/>
  <c r="Y32" i="13"/>
  <c r="AB32" i="13" s="1"/>
  <c r="U32" i="24"/>
  <c r="U74" i="24" s="1"/>
  <c r="Y14" i="13"/>
  <c r="AB14" i="13" s="1"/>
  <c r="AA99" i="16" s="1"/>
  <c r="U14" i="24"/>
  <c r="U56" i="24" s="1"/>
  <c r="Y24" i="13"/>
  <c r="AB24" i="13" s="1"/>
  <c r="S17" i="28" s="1"/>
  <c r="U24" i="24"/>
  <c r="U66" i="24" s="1"/>
  <c r="Y19" i="13"/>
  <c r="AB19" i="13" s="1"/>
  <c r="U19" i="24"/>
  <c r="U61" i="24" s="1"/>
  <c r="Y40" i="13"/>
  <c r="AB40" i="13" s="1"/>
  <c r="S32" i="28" s="1"/>
  <c r="U40" i="24"/>
  <c r="U82" i="24" s="1"/>
  <c r="Y13" i="13"/>
  <c r="AB13" i="13" s="1"/>
  <c r="AA98" i="16" s="1"/>
  <c r="AG98" i="16" s="1"/>
  <c r="U13" i="24"/>
  <c r="U55" i="24" s="1"/>
  <c r="Y20" i="13"/>
  <c r="AB20" i="13" s="1"/>
  <c r="S12" i="28" s="1"/>
  <c r="U20" i="24"/>
  <c r="U62" i="24" s="1"/>
  <c r="Y28" i="13"/>
  <c r="AB28" i="13" s="1"/>
  <c r="S22" i="28" s="1"/>
  <c r="U28" i="24"/>
  <c r="U70" i="24" s="1"/>
  <c r="Y6" i="13"/>
  <c r="AB6" i="13" s="1"/>
  <c r="U6" i="24"/>
  <c r="U48" i="24" s="1"/>
  <c r="Y18" i="13"/>
  <c r="AB18" i="13" s="1"/>
  <c r="U18" i="24"/>
  <c r="U60" i="24" s="1"/>
  <c r="Y29" i="13"/>
  <c r="AB29" i="13" s="1"/>
  <c r="S23" i="28" s="1"/>
  <c r="U29" i="24"/>
  <c r="U71" i="24" s="1"/>
  <c r="Y8" i="13"/>
  <c r="AB8" i="13" s="1"/>
  <c r="S6" i="28" s="1"/>
  <c r="U8" i="24"/>
  <c r="U50" i="24" s="1"/>
  <c r="Y39" i="13"/>
  <c r="AB39" i="13" s="1"/>
  <c r="S30" i="28" s="1"/>
  <c r="U39" i="24"/>
  <c r="U81" i="24" s="1"/>
  <c r="Y27" i="13"/>
  <c r="AB27" i="13" s="1"/>
  <c r="U27" i="24"/>
  <c r="U69" i="24" s="1"/>
  <c r="Y23" i="13"/>
  <c r="AB23" i="13" s="1"/>
  <c r="U23" i="24"/>
  <c r="U65" i="24" s="1"/>
  <c r="Y35" i="13"/>
  <c r="AB35" i="13" s="1"/>
  <c r="S27" i="28" s="1"/>
  <c r="U35" i="24"/>
  <c r="U77" i="24" s="1"/>
  <c r="Y26" i="13"/>
  <c r="AB26" i="13" s="1"/>
  <c r="S19" i="28" s="1"/>
  <c r="U26" i="24"/>
  <c r="U68" i="24" s="1"/>
  <c r="Y34" i="13"/>
  <c r="AB34" i="13" s="1"/>
  <c r="U34" i="24"/>
  <c r="U76" i="24" s="1"/>
  <c r="Y9" i="13"/>
  <c r="AB9" i="13" s="1"/>
  <c r="S7" i="28" s="1"/>
  <c r="U9" i="24"/>
  <c r="U51" i="24" s="1"/>
  <c r="Y12" i="13"/>
  <c r="AB12" i="13" s="1"/>
  <c r="AA25" i="17" s="1"/>
  <c r="U12" i="24"/>
  <c r="U54" i="24" s="1"/>
  <c r="Y38" i="13"/>
  <c r="AB38" i="13" s="1"/>
  <c r="S31" i="28" s="1"/>
  <c r="U38" i="24"/>
  <c r="U80" i="24" s="1"/>
  <c r="Y21" i="13"/>
  <c r="AB21" i="13" s="1"/>
  <c r="S13" i="28" s="1"/>
  <c r="U21" i="24"/>
  <c r="U63" i="24" s="1"/>
  <c r="Y17" i="13"/>
  <c r="AB17" i="13" s="1"/>
  <c r="U17" i="24"/>
  <c r="U59" i="24" s="1"/>
  <c r="Y33" i="13"/>
  <c r="AB33" i="13" s="1"/>
  <c r="U33" i="24"/>
  <c r="U75" i="24" s="1"/>
  <c r="Y7" i="13"/>
  <c r="AB7" i="13" s="1"/>
  <c r="S5" i="28" s="1"/>
  <c r="U7" i="24"/>
  <c r="U49" i="24" s="1"/>
  <c r="Y22" i="13"/>
  <c r="AB22" i="13" s="1"/>
  <c r="S14" i="28" s="1"/>
  <c r="U22" i="24"/>
  <c r="U64" i="24" s="1"/>
  <c r="Y37" i="13"/>
  <c r="AB37" i="13" s="1"/>
  <c r="S29" i="28" s="1"/>
  <c r="U37" i="24"/>
  <c r="U79" i="24" s="1"/>
  <c r="Y10" i="13"/>
  <c r="AB10" i="13" s="1"/>
  <c r="S9" i="28" s="1"/>
  <c r="U10" i="24"/>
  <c r="U52" i="24" s="1"/>
  <c r="Y31" i="13"/>
  <c r="AB31" i="13" s="1"/>
  <c r="U31" i="24"/>
  <c r="U73" i="24" s="1"/>
  <c r="Y30" i="13"/>
  <c r="AB30" i="13" s="1"/>
  <c r="S24" i="28" s="1"/>
  <c r="U30" i="24"/>
  <c r="U72" i="24" s="1"/>
  <c r="Y16" i="13"/>
  <c r="AB16" i="13" s="1"/>
  <c r="S10" i="28" s="1"/>
  <c r="U16" i="24"/>
  <c r="U58" i="24" s="1"/>
  <c r="AA28" i="17"/>
  <c r="AA13" i="17"/>
  <c r="AA81" i="16"/>
  <c r="AG81" i="16" s="1"/>
  <c r="AA75" i="16"/>
  <c r="AG75" i="16" s="1"/>
  <c r="Q43" i="12"/>
  <c r="AM57" i="6"/>
  <c r="AM55" i="9"/>
  <c r="AM55" i="8"/>
  <c r="AM55" i="7"/>
  <c r="Q43" i="13"/>
  <c r="AB43" i="11"/>
  <c r="X5" i="12"/>
  <c r="X5" i="13"/>
  <c r="AB45" i="13"/>
  <c r="AB45" i="12"/>
  <c r="AB45" i="11"/>
  <c r="AB45" i="10"/>
  <c r="S21" i="28" l="1"/>
  <c r="S26" i="28"/>
  <c r="S16" i="28"/>
  <c r="G11" i="28"/>
  <c r="G6" i="28"/>
  <c r="S25" i="28"/>
  <c r="S15" i="28"/>
  <c r="S20" i="28"/>
  <c r="AA8" i="17"/>
  <c r="AA82" i="16"/>
  <c r="AG82" i="16" s="1"/>
  <c r="AA167" i="16"/>
  <c r="AA79" i="16"/>
  <c r="AG79" i="16" s="1"/>
  <c r="AA74" i="16"/>
  <c r="AG74" i="16" s="1"/>
  <c r="AA9" i="17"/>
  <c r="AA168" i="16"/>
  <c r="AA83" i="16"/>
  <c r="AG83" i="16" s="1"/>
  <c r="AA5" i="17"/>
  <c r="AA14" i="17"/>
  <c r="AA165" i="16"/>
  <c r="AA77" i="16"/>
  <c r="AG77" i="16" s="1"/>
  <c r="AA4" i="17"/>
  <c r="AA10" i="17"/>
  <c r="AA27" i="17"/>
  <c r="AA169" i="16"/>
  <c r="L169" i="21" s="1"/>
  <c r="O169" i="21" s="1"/>
  <c r="AA15" i="17"/>
  <c r="AA84" i="16"/>
  <c r="AG84" i="16" s="1"/>
  <c r="AA78" i="16"/>
  <c r="AG78" i="16" s="1"/>
  <c r="AA6" i="17"/>
  <c r="AA12" i="17"/>
  <c r="AA8" i="16"/>
  <c r="AA163" i="16"/>
  <c r="AG163" i="16" s="1"/>
  <c r="AA162" i="16"/>
  <c r="AG162" i="16" s="1"/>
  <c r="AA102" i="16"/>
  <c r="AG102" i="16" s="1"/>
  <c r="AA80" i="16"/>
  <c r="AG80" i="16" s="1"/>
  <c r="AA76" i="16"/>
  <c r="AG76" i="16" s="1"/>
  <c r="AA85" i="16"/>
  <c r="AG85" i="16" s="1"/>
  <c r="AA3" i="17"/>
  <c r="AA7" i="17"/>
  <c r="AA11" i="17"/>
  <c r="AA160" i="16"/>
  <c r="L160" i="21" s="1"/>
  <c r="O160" i="21" s="1"/>
  <c r="AA164" i="16"/>
  <c r="AG164" i="16" s="1"/>
  <c r="AA170" i="16"/>
  <c r="U5" i="24"/>
  <c r="U47" i="24" s="1"/>
  <c r="K11" i="26" s="1"/>
  <c r="M11" i="26" s="1"/>
  <c r="AA4" i="16"/>
  <c r="L4" i="21" s="1"/>
  <c r="O4" i="21" s="1"/>
  <c r="AA37" i="17"/>
  <c r="AA116" i="16"/>
  <c r="AA37" i="16"/>
  <c r="AG37" i="16" s="1"/>
  <c r="AA141" i="16"/>
  <c r="AG141" i="16" s="1"/>
  <c r="AA42" i="17"/>
  <c r="AA91" i="16"/>
  <c r="AG91" i="16" s="1"/>
  <c r="AA131" i="16"/>
  <c r="AG131" i="16" s="1"/>
  <c r="AA126" i="16"/>
  <c r="AG126" i="16" s="1"/>
  <c r="AA10" i="16"/>
  <c r="AA100" i="16"/>
  <c r="AG100" i="16" s="1"/>
  <c r="AA159" i="16"/>
  <c r="L159" i="21" s="1"/>
  <c r="AA161" i="16"/>
  <c r="L161" i="21" s="1"/>
  <c r="O161" i="21" s="1"/>
  <c r="AA166" i="16"/>
  <c r="AA47" i="17"/>
  <c r="AA26" i="17"/>
  <c r="AA121" i="16"/>
  <c r="AG121" i="16" s="1"/>
  <c r="AA9" i="16"/>
  <c r="AA11" i="16"/>
  <c r="L11" i="21" s="1"/>
  <c r="O11" i="21" s="1"/>
  <c r="AA31" i="17"/>
  <c r="AA152" i="16"/>
  <c r="AG152" i="16" s="1"/>
  <c r="AA93" i="16"/>
  <c r="AG93" i="16" s="1"/>
  <c r="AA128" i="16"/>
  <c r="AG128" i="16" s="1"/>
  <c r="AA119" i="16"/>
  <c r="AG119" i="16" s="1"/>
  <c r="AA129" i="16"/>
  <c r="AA138" i="16"/>
  <c r="AG138" i="16" s="1"/>
  <c r="AA29" i="16"/>
  <c r="AG29" i="16" s="1"/>
  <c r="AA30" i="16"/>
  <c r="AG30" i="16" s="1"/>
  <c r="AA31" i="16"/>
  <c r="AA101" i="16"/>
  <c r="AG101" i="16" s="1"/>
  <c r="AA34" i="17"/>
  <c r="AA154" i="16"/>
  <c r="AG154" i="16" s="1"/>
  <c r="AA67" i="16"/>
  <c r="AA22" i="17"/>
  <c r="AA143" i="16"/>
  <c r="AG143" i="16" s="1"/>
  <c r="AA140" i="16"/>
  <c r="AG140" i="16" s="1"/>
  <c r="AA118" i="16"/>
  <c r="AA36" i="16"/>
  <c r="AG36" i="16" s="1"/>
  <c r="AA2" i="16"/>
  <c r="AG2" i="16" s="1"/>
  <c r="AA3" i="16"/>
  <c r="AG3" i="16" s="1"/>
  <c r="AA104" i="16"/>
  <c r="AG104" i="16" s="1"/>
  <c r="AA29" i="17"/>
  <c r="AA39" i="17"/>
  <c r="AA49" i="17"/>
  <c r="AA157" i="16"/>
  <c r="AG157" i="16" s="1"/>
  <c r="AA65" i="16"/>
  <c r="AG65" i="16" s="1"/>
  <c r="AA94" i="16"/>
  <c r="AG94" i="16" s="1"/>
  <c r="AA23" i="17"/>
  <c r="AA136" i="16"/>
  <c r="L136" i="21" s="1"/>
  <c r="O136" i="21" s="1"/>
  <c r="AA123" i="16"/>
  <c r="L123" i="21" s="1"/>
  <c r="O123" i="21" s="1"/>
  <c r="AA135" i="16"/>
  <c r="L135" i="21" s="1"/>
  <c r="O135" i="21" s="1"/>
  <c r="AA113" i="16"/>
  <c r="AA137" i="16"/>
  <c r="AG137" i="16" s="1"/>
  <c r="AA122" i="16"/>
  <c r="L122" i="21" s="1"/>
  <c r="O122" i="21" s="1"/>
  <c r="AA142" i="16"/>
  <c r="AG142" i="16" s="1"/>
  <c r="AA5" i="16"/>
  <c r="AA33" i="16"/>
  <c r="L33" i="21" s="1"/>
  <c r="O33" i="21" s="1"/>
  <c r="AA6" i="16"/>
  <c r="AG6" i="16" s="1"/>
  <c r="AA34" i="16"/>
  <c r="AG34" i="16" s="1"/>
  <c r="AA7" i="16"/>
  <c r="AA35" i="16"/>
  <c r="AG35" i="16" s="1"/>
  <c r="AA103" i="16"/>
  <c r="AG103" i="16" s="1"/>
  <c r="AA109" i="16"/>
  <c r="AG109" i="16" s="1"/>
  <c r="AA30" i="17"/>
  <c r="AA35" i="17"/>
  <c r="AA45" i="17"/>
  <c r="AA46" i="17"/>
  <c r="AA149" i="16"/>
  <c r="AG149" i="16" s="1"/>
  <c r="AA95" i="16"/>
  <c r="AG95" i="16" s="1"/>
  <c r="AA18" i="17"/>
  <c r="AA120" i="16"/>
  <c r="AG120" i="16" s="1"/>
  <c r="AA127" i="16"/>
  <c r="AA139" i="16"/>
  <c r="AG139" i="16" s="1"/>
  <c r="AA132" i="16"/>
  <c r="L132" i="21" s="1"/>
  <c r="O132" i="21" s="1"/>
  <c r="AA125" i="16"/>
  <c r="AG125" i="16" s="1"/>
  <c r="AA145" i="16"/>
  <c r="AA134" i="16"/>
  <c r="AG134" i="16" s="1"/>
  <c r="AA12" i="16"/>
  <c r="L12" i="21" s="1"/>
  <c r="O12" i="21" s="1"/>
  <c r="AA13" i="16"/>
  <c r="AG13" i="16" s="1"/>
  <c r="AA28" i="16"/>
  <c r="AA26" i="16"/>
  <c r="L26" i="21" s="1"/>
  <c r="O26" i="21" s="1"/>
  <c r="AA32" i="16"/>
  <c r="AG32" i="16" s="1"/>
  <c r="AA27" i="16"/>
  <c r="AG27" i="16" s="1"/>
  <c r="AA111" i="16"/>
  <c r="AG111" i="16" s="1"/>
  <c r="AA108" i="16"/>
  <c r="AG108" i="16" s="1"/>
  <c r="AA106" i="16"/>
  <c r="AG106" i="16" s="1"/>
  <c r="AA33" i="17"/>
  <c r="AA38" i="17"/>
  <c r="AA48" i="17"/>
  <c r="AA156" i="16"/>
  <c r="AG156" i="16" s="1"/>
  <c r="AA158" i="16"/>
  <c r="AG158" i="16" s="1"/>
  <c r="AA2" i="17"/>
  <c r="AA64" i="16"/>
  <c r="AG64" i="16" s="1"/>
  <c r="AA87" i="16"/>
  <c r="AG87" i="16" s="1"/>
  <c r="AA97" i="16"/>
  <c r="AG97" i="16" s="1"/>
  <c r="AA19" i="17"/>
  <c r="AA112" i="16"/>
  <c r="L112" i="21" s="1"/>
  <c r="AA144" i="16"/>
  <c r="AG144" i="16" s="1"/>
  <c r="AA115" i="16"/>
  <c r="AG115" i="16" s="1"/>
  <c r="AA147" i="16"/>
  <c r="AA124" i="16"/>
  <c r="L124" i="21" s="1"/>
  <c r="O124" i="21" s="1"/>
  <c r="AA117" i="16"/>
  <c r="AG117" i="16" s="1"/>
  <c r="AA133" i="16"/>
  <c r="AG133" i="16" s="1"/>
  <c r="AA114" i="16"/>
  <c r="AA130" i="16"/>
  <c r="L130" i="21" s="1"/>
  <c r="O130" i="21" s="1"/>
  <c r="AA146" i="16"/>
  <c r="AG146" i="16" s="1"/>
  <c r="AA107" i="16"/>
  <c r="AG107" i="16" s="1"/>
  <c r="AA105" i="16"/>
  <c r="AG105" i="16" s="1"/>
  <c r="AA110" i="16"/>
  <c r="AG110" i="16" s="1"/>
  <c r="AA32" i="17"/>
  <c r="AA36" i="17"/>
  <c r="AA40" i="17"/>
  <c r="AA148" i="16"/>
  <c r="AG148" i="16" s="1"/>
  <c r="AA151" i="16"/>
  <c r="AG151" i="16" s="1"/>
  <c r="AA150" i="16"/>
  <c r="AG150" i="16" s="1"/>
  <c r="AA51" i="17"/>
  <c r="AA71" i="16"/>
  <c r="AG71" i="16" s="1"/>
  <c r="AA66" i="16"/>
  <c r="L66" i="21" s="1"/>
  <c r="O66" i="21" s="1"/>
  <c r="AA69" i="16"/>
  <c r="AA72" i="16"/>
  <c r="L72" i="21" s="1"/>
  <c r="O72" i="21" s="1"/>
  <c r="AA88" i="16"/>
  <c r="AG88" i="16" s="1"/>
  <c r="AA16" i="17"/>
  <c r="AA24" i="17"/>
  <c r="AA63" i="16"/>
  <c r="AG63" i="16" s="1"/>
  <c r="AA73" i="16"/>
  <c r="L73" i="21" s="1"/>
  <c r="O73" i="21" s="1"/>
  <c r="AA92" i="16"/>
  <c r="AG92" i="16" s="1"/>
  <c r="AA86" i="16"/>
  <c r="AG86" i="16" s="1"/>
  <c r="AA20" i="17"/>
  <c r="AA62" i="16"/>
  <c r="L110" i="21" s="1"/>
  <c r="AA68" i="16"/>
  <c r="L68" i="21" s="1"/>
  <c r="O68" i="21" s="1"/>
  <c r="AA70" i="16"/>
  <c r="AG70" i="16" s="1"/>
  <c r="AA96" i="16"/>
  <c r="AG96" i="16" s="1"/>
  <c r="AA89" i="16"/>
  <c r="AG89" i="16" s="1"/>
  <c r="AA90" i="16"/>
  <c r="AG90" i="16" s="1"/>
  <c r="AA17" i="17"/>
  <c r="AA21" i="17"/>
  <c r="AA44" i="17"/>
  <c r="AA41" i="17"/>
  <c r="AA155" i="16"/>
  <c r="AG155" i="16" s="1"/>
  <c r="AA50" i="17"/>
  <c r="AA43" i="17"/>
  <c r="AA153" i="16"/>
  <c r="AG153" i="16" s="1"/>
  <c r="AG28" i="16"/>
  <c r="L28" i="21"/>
  <c r="O28" i="21" s="1"/>
  <c r="AG161" i="16"/>
  <c r="AG166" i="16"/>
  <c r="L166" i="21"/>
  <c r="O166" i="21" s="1"/>
  <c r="AG67" i="16"/>
  <c r="L67" i="21"/>
  <c r="O67" i="21" s="1"/>
  <c r="AG69" i="16"/>
  <c r="L69" i="21"/>
  <c r="O69" i="21" s="1"/>
  <c r="AG112" i="16"/>
  <c r="AG147" i="16"/>
  <c r="L157" i="21"/>
  <c r="O157" i="21" s="1"/>
  <c r="L153" i="21"/>
  <c r="L149" i="21"/>
  <c r="O149" i="21" s="1"/>
  <c r="L158" i="21"/>
  <c r="L154" i="21"/>
  <c r="L150" i="21"/>
  <c r="L155" i="21"/>
  <c r="L151" i="21"/>
  <c r="L147" i="21"/>
  <c r="O147" i="21" s="1"/>
  <c r="L156" i="21"/>
  <c r="L148" i="21"/>
  <c r="L152" i="21"/>
  <c r="AG116" i="16"/>
  <c r="L116" i="21"/>
  <c r="O116" i="21" s="1"/>
  <c r="AG31" i="16"/>
  <c r="L31" i="21"/>
  <c r="O31" i="21" s="1"/>
  <c r="AG165" i="16"/>
  <c r="L165" i="21"/>
  <c r="O165" i="21" s="1"/>
  <c r="AG170" i="16"/>
  <c r="L170" i="21"/>
  <c r="O170" i="21" s="1"/>
  <c r="AG114" i="16"/>
  <c r="L114" i="21"/>
  <c r="O114" i="21" s="1"/>
  <c r="AG99" i="16"/>
  <c r="L98" i="21"/>
  <c r="O98" i="21" s="1"/>
  <c r="L96" i="21"/>
  <c r="L94" i="21"/>
  <c r="L92" i="21"/>
  <c r="L90" i="21"/>
  <c r="L88" i="21"/>
  <c r="L86" i="21"/>
  <c r="O86" i="21" s="1"/>
  <c r="L84" i="21"/>
  <c r="O84" i="21" s="1"/>
  <c r="L82" i="21"/>
  <c r="O82" i="21" s="1"/>
  <c r="L80" i="21"/>
  <c r="O80" i="21" s="1"/>
  <c r="L78" i="21"/>
  <c r="L76" i="21"/>
  <c r="L74" i="21"/>
  <c r="L99" i="21"/>
  <c r="O99" i="21" s="1"/>
  <c r="L97" i="21"/>
  <c r="L95" i="21"/>
  <c r="L93" i="21"/>
  <c r="L91" i="21"/>
  <c r="L89" i="21"/>
  <c r="L87" i="21"/>
  <c r="L85" i="21"/>
  <c r="O85" i="21" s="1"/>
  <c r="L83" i="21"/>
  <c r="L81" i="21"/>
  <c r="O81" i="21" s="1"/>
  <c r="L79" i="21"/>
  <c r="L77" i="21"/>
  <c r="O77" i="21" s="1"/>
  <c r="L75" i="21"/>
  <c r="O75" i="21" s="1"/>
  <c r="AG5" i="16"/>
  <c r="L5" i="21"/>
  <c r="O5" i="21" s="1"/>
  <c r="AG7" i="16"/>
  <c r="L7" i="21"/>
  <c r="O7" i="21" s="1"/>
  <c r="AG167" i="16"/>
  <c r="L167" i="21"/>
  <c r="O167" i="21" s="1"/>
  <c r="AG169" i="16"/>
  <c r="L64" i="21"/>
  <c r="O64" i="21" s="1"/>
  <c r="L70" i="21"/>
  <c r="O70" i="21" s="1"/>
  <c r="AG127" i="16"/>
  <c r="L127" i="21"/>
  <c r="O127" i="21" s="1"/>
  <c r="AG113" i="16"/>
  <c r="L113" i="21"/>
  <c r="O113" i="21" s="1"/>
  <c r="AG129" i="16"/>
  <c r="L129" i="21"/>
  <c r="O129" i="21" s="1"/>
  <c r="AG145" i="16"/>
  <c r="L145" i="21"/>
  <c r="O145" i="21" s="1"/>
  <c r="AG118" i="16"/>
  <c r="L118" i="21"/>
  <c r="O118" i="21" s="1"/>
  <c r="AG9" i="16"/>
  <c r="L9" i="21"/>
  <c r="O9" i="21" s="1"/>
  <c r="AG10" i="16"/>
  <c r="L10" i="21"/>
  <c r="O10" i="21" s="1"/>
  <c r="AG8" i="16"/>
  <c r="L8" i="21"/>
  <c r="O8" i="21" s="1"/>
  <c r="AG11" i="16"/>
  <c r="AG168" i="16"/>
  <c r="L168" i="21"/>
  <c r="O168" i="21" s="1"/>
  <c r="L164" i="21"/>
  <c r="O164" i="21" s="1"/>
  <c r="Y5" i="13"/>
  <c r="X43" i="13"/>
  <c r="Y5" i="12"/>
  <c r="X43" i="12"/>
  <c r="O96" i="21" l="1"/>
  <c r="L100" i="21"/>
  <c r="O83" i="21"/>
  <c r="L104" i="21"/>
  <c r="O104" i="21" s="1"/>
  <c r="AG12" i="16"/>
  <c r="L108" i="21"/>
  <c r="O108" i="21" s="1"/>
  <c r="AG62" i="16"/>
  <c r="L29" i="21"/>
  <c r="O29" i="21" s="1"/>
  <c r="AG159" i="16"/>
  <c r="AG122" i="16"/>
  <c r="AG73" i="16"/>
  <c r="AG136" i="16"/>
  <c r="AG132" i="16"/>
  <c r="L141" i="21"/>
  <c r="O141" i="21" s="1"/>
  <c r="AG135" i="16"/>
  <c r="O74" i="21"/>
  <c r="O90" i="21"/>
  <c r="L142" i="21"/>
  <c r="O142" i="21" s="1"/>
  <c r="L111" i="21"/>
  <c r="O111" i="21" s="1"/>
  <c r="O79" i="21"/>
  <c r="L162" i="21"/>
  <c r="O162" i="21" s="1"/>
  <c r="L119" i="21"/>
  <c r="O119" i="21" s="1"/>
  <c r="L62" i="21"/>
  <c r="L107" i="21"/>
  <c r="O107" i="21" s="1"/>
  <c r="AG160" i="16"/>
  <c r="O97" i="21"/>
  <c r="O94" i="21"/>
  <c r="AG130" i="16"/>
  <c r="L125" i="21"/>
  <c r="O125" i="21" s="1"/>
  <c r="L30" i="21"/>
  <c r="O30" i="21" s="1"/>
  <c r="AG72" i="16"/>
  <c r="L71" i="21"/>
  <c r="O71" i="21" s="1"/>
  <c r="AG33" i="16"/>
  <c r="O93" i="21"/>
  <c r="L139" i="21"/>
  <c r="O139" i="21" s="1"/>
  <c r="AG124" i="16"/>
  <c r="L163" i="21"/>
  <c r="O163" i="21" s="1"/>
  <c r="L37" i="21"/>
  <c r="O37" i="21" s="1"/>
  <c r="L35" i="21"/>
  <c r="O35" i="21" s="1"/>
  <c r="O95" i="21"/>
  <c r="O76" i="21"/>
  <c r="AG26" i="16"/>
  <c r="L138" i="21"/>
  <c r="O138" i="21" s="1"/>
  <c r="O110" i="21"/>
  <c r="L134" i="21"/>
  <c r="O134" i="21" s="1"/>
  <c r="L63" i="21"/>
  <c r="O63" i="21" s="1"/>
  <c r="L137" i="21"/>
  <c r="O137" i="21" s="1"/>
  <c r="K9" i="26"/>
  <c r="K15" i="26" s="1"/>
  <c r="L6" i="21"/>
  <c r="O6" i="21" s="1"/>
  <c r="O87" i="21"/>
  <c r="O151" i="21"/>
  <c r="L32" i="21"/>
  <c r="O32" i="21" s="1"/>
  <c r="L117" i="21"/>
  <c r="O117" i="21" s="1"/>
  <c r="AG4" i="16"/>
  <c r="L131" i="21"/>
  <c r="O131" i="21" s="1"/>
  <c r="L128" i="21"/>
  <c r="O128" i="21" s="1"/>
  <c r="AG68" i="16"/>
  <c r="L101" i="21"/>
  <c r="O101" i="21" s="1"/>
  <c r="L105" i="21"/>
  <c r="O105" i="21" s="1"/>
  <c r="L109" i="21"/>
  <c r="O109" i="21" s="1"/>
  <c r="O89" i="21"/>
  <c r="O78" i="21"/>
  <c r="L146" i="21"/>
  <c r="O146" i="21" s="1"/>
  <c r="AG123" i="16"/>
  <c r="L2" i="21"/>
  <c r="L36" i="21"/>
  <c r="O36" i="21" s="1"/>
  <c r="O148" i="21"/>
  <c r="L144" i="21"/>
  <c r="O144" i="21" s="1"/>
  <c r="L143" i="21"/>
  <c r="O143" i="21" s="1"/>
  <c r="L65" i="21"/>
  <c r="O65" i="21" s="1"/>
  <c r="K7" i="26"/>
  <c r="M7" i="26" s="1"/>
  <c r="M13" i="26" s="1"/>
  <c r="L102" i="21"/>
  <c r="O102" i="21" s="1"/>
  <c r="L103" i="21"/>
  <c r="O103" i="21" s="1"/>
  <c r="L106" i="21"/>
  <c r="O106" i="21" s="1"/>
  <c r="O91" i="21"/>
  <c r="O88" i="21"/>
  <c r="O156" i="21"/>
  <c r="AC10" i="21"/>
  <c r="AP4" i="16"/>
  <c r="AQ4" i="16" s="1"/>
  <c r="L34" i="21"/>
  <c r="O34" i="21" s="1"/>
  <c r="O154" i="21"/>
  <c r="L120" i="21"/>
  <c r="O120" i="21" s="1"/>
  <c r="L3" i="21"/>
  <c r="O3" i="21" s="1"/>
  <c r="L126" i="21"/>
  <c r="O126" i="21" s="1"/>
  <c r="L121" i="21"/>
  <c r="O121" i="21" s="1"/>
  <c r="O152" i="21"/>
  <c r="O158" i="21"/>
  <c r="L140" i="21"/>
  <c r="O140" i="21" s="1"/>
  <c r="O92" i="21"/>
  <c r="AG66" i="16"/>
  <c r="O155" i="21"/>
  <c r="L115" i="21"/>
  <c r="O115" i="21" s="1"/>
  <c r="L27" i="21"/>
  <c r="O27" i="21" s="1"/>
  <c r="L13" i="21"/>
  <c r="O13" i="21" s="1"/>
  <c r="L133" i="21"/>
  <c r="O133" i="21" s="1"/>
  <c r="O150" i="21"/>
  <c r="O153" i="21"/>
  <c r="AP6" i="16"/>
  <c r="AQ6" i="16" s="1"/>
  <c r="O62" i="21"/>
  <c r="O100" i="21"/>
  <c r="O159" i="21"/>
  <c r="W12" i="21" s="1"/>
  <c r="O2" i="21"/>
  <c r="AC12" i="21"/>
  <c r="O112" i="21"/>
  <c r="Y43" i="12"/>
  <c r="AB5" i="12"/>
  <c r="AB43" i="12" s="1"/>
  <c r="Y43" i="13"/>
  <c r="AB5" i="13"/>
  <c r="G10" i="28" l="1"/>
  <c r="G5" i="28"/>
  <c r="AC9" i="21"/>
  <c r="T12" i="21"/>
  <c r="K14" i="26"/>
  <c r="M9" i="26"/>
  <c r="K13" i="26"/>
  <c r="T9" i="21"/>
  <c r="W11" i="21"/>
  <c r="AP5" i="16"/>
  <c r="AQ5" i="16" s="1"/>
  <c r="T10" i="21"/>
  <c r="AP3" i="16"/>
  <c r="AQ3" i="16" s="1"/>
  <c r="AC11" i="21"/>
  <c r="T11" i="21"/>
  <c r="W10" i="21"/>
  <c r="Z10" i="21" s="1"/>
  <c r="AH10" i="21" s="1"/>
  <c r="W9" i="21"/>
  <c r="Z9" i="21" s="1"/>
  <c r="AH9" i="21" s="1"/>
  <c r="M15" i="26"/>
  <c r="M14" i="26"/>
  <c r="Z12" i="21"/>
  <c r="AH12" i="21" s="1"/>
  <c r="AB43" i="13"/>
  <c r="AA61" i="16"/>
  <c r="AA57" i="16"/>
  <c r="AA53" i="16"/>
  <c r="AA58" i="16"/>
  <c r="AA52" i="16"/>
  <c r="AA23" i="16"/>
  <c r="AA19" i="16"/>
  <c r="AA15" i="16"/>
  <c r="AA59" i="16"/>
  <c r="AA20" i="16"/>
  <c r="AA56" i="16"/>
  <c r="AA51" i="16"/>
  <c r="AA22" i="16"/>
  <c r="AA18" i="16"/>
  <c r="AA14" i="16"/>
  <c r="AA54" i="16"/>
  <c r="AA16" i="16"/>
  <c r="AA60" i="16"/>
  <c r="AA55" i="16"/>
  <c r="AA50" i="16"/>
  <c r="AA25" i="16"/>
  <c r="AA21" i="16"/>
  <c r="AA17" i="16"/>
  <c r="AA24" i="16"/>
  <c r="Z11" i="21" l="1"/>
  <c r="AH11" i="21" s="1"/>
  <c r="AP8" i="16"/>
  <c r="AQ8" i="16" s="1"/>
  <c r="AG50" i="16"/>
  <c r="L50" i="21"/>
  <c r="O50" i="21" s="1"/>
  <c r="AG51" i="16"/>
  <c r="L51" i="21"/>
  <c r="O51" i="21" s="1"/>
  <c r="AG17" i="16"/>
  <c r="L17" i="21"/>
  <c r="O17" i="21" s="1"/>
  <c r="AG55" i="16"/>
  <c r="L55" i="21"/>
  <c r="O55" i="21" s="1"/>
  <c r="AG14" i="16"/>
  <c r="L14" i="21"/>
  <c r="AG19" i="16"/>
  <c r="L19" i="21"/>
  <c r="O19" i="21" s="1"/>
  <c r="AG53" i="16"/>
  <c r="L53" i="21"/>
  <c r="O53" i="21" s="1"/>
  <c r="AG21" i="16"/>
  <c r="L21" i="21"/>
  <c r="O21" i="21" s="1"/>
  <c r="AG25" i="16"/>
  <c r="L25" i="21"/>
  <c r="O25" i="21" s="1"/>
  <c r="AG16" i="16"/>
  <c r="L16" i="21"/>
  <c r="O16" i="21" s="1"/>
  <c r="AG22" i="16"/>
  <c r="L22" i="21"/>
  <c r="O22" i="21" s="1"/>
  <c r="AG59" i="16"/>
  <c r="L59" i="21"/>
  <c r="O59" i="21" s="1"/>
  <c r="AG52" i="16"/>
  <c r="L52" i="21"/>
  <c r="O52" i="21" s="1"/>
  <c r="AG61" i="16"/>
  <c r="L61" i="21"/>
  <c r="O61" i="21" s="1"/>
  <c r="AG54" i="16"/>
  <c r="L54" i="21"/>
  <c r="O54" i="21" s="1"/>
  <c r="AG15" i="16"/>
  <c r="L15" i="21"/>
  <c r="O15" i="21" s="1"/>
  <c r="AG58" i="16"/>
  <c r="L58" i="21"/>
  <c r="O58" i="21" s="1"/>
  <c r="AG24" i="16"/>
  <c r="L24" i="21"/>
  <c r="O24" i="21" s="1"/>
  <c r="AG56" i="16"/>
  <c r="L56" i="21"/>
  <c r="O56" i="21" s="1"/>
  <c r="AG60" i="16"/>
  <c r="L60" i="21"/>
  <c r="O60" i="21" s="1"/>
  <c r="AG18" i="16"/>
  <c r="L18" i="21"/>
  <c r="O18" i="21" s="1"/>
  <c r="AG20" i="16"/>
  <c r="L20" i="21"/>
  <c r="O20" i="21" s="1"/>
  <c r="AG23" i="16"/>
  <c r="L23" i="21"/>
  <c r="O23" i="21" s="1"/>
  <c r="AG57" i="16"/>
  <c r="L57" i="21"/>
  <c r="O57" i="21" s="1"/>
  <c r="AP2" i="16" l="1"/>
  <c r="AP7" i="16" s="1"/>
  <c r="O14" i="21"/>
  <c r="W7" i="21" s="1"/>
  <c r="T7" i="21"/>
  <c r="AC7" i="21"/>
  <c r="AQ2" i="16" l="1"/>
  <c r="Z7" i="21"/>
  <c r="AH7" i="21" s="1"/>
  <c r="AQ7" i="16"/>
  <c r="AP9" i="16"/>
  <c r="AQ9" i="16" s="1"/>
  <c r="AM23" i="8" l="1"/>
  <c r="T23" i="8"/>
  <c r="N23" i="8"/>
  <c r="N64" i="23"/>
  <c r="N12" i="23"/>
  <c r="N91" i="23"/>
  <c r="N39" i="23"/>
  <c r="AB93" i="23"/>
  <c r="AB41" i="23"/>
  <c r="AE44" i="17"/>
  <c r="Z44" i="17"/>
  <c r="N137" i="21"/>
  <c r="K137" i="21"/>
  <c r="AC64" i="23"/>
  <c r="AC12" i="23"/>
  <c r="AF12" i="8"/>
  <c r="AP12" i="8"/>
  <c r="H15" i="28"/>
  <c r="AM9" i="7"/>
  <c r="E15" i="28"/>
  <c r="AF89" i="23"/>
  <c r="AF37" i="23"/>
  <c r="AG101" i="23"/>
  <c r="AG49" i="23"/>
  <c r="AF94" i="16"/>
  <c r="Z94" i="16"/>
  <c r="N98" i="23"/>
  <c r="N46" i="23"/>
  <c r="AL7" i="16"/>
  <c r="AK7" i="16"/>
  <c r="AB81" i="23"/>
  <c r="AB29" i="23"/>
  <c r="N38" i="9"/>
  <c r="T38" i="9"/>
  <c r="AM38" i="9"/>
  <c r="AP11" i="8"/>
  <c r="AF11" i="8"/>
  <c r="AC11" i="23"/>
  <c r="AC63" i="23"/>
  <c r="AO37" i="9"/>
  <c r="AE37" i="9"/>
  <c r="AG37" i="9"/>
  <c r="AO41" i="8"/>
  <c r="AE41" i="8"/>
  <c r="AG41" i="8"/>
  <c r="AF111" i="16"/>
  <c r="Z111" i="16"/>
  <c r="AC90" i="23"/>
  <c r="AC38" i="23"/>
  <c r="AF38" i="8"/>
  <c r="AP38" i="8"/>
  <c r="AL6" i="9"/>
  <c r="AJ6" i="9"/>
  <c r="AG39" i="9"/>
  <c r="AE39" i="9"/>
  <c r="AO39" i="9"/>
  <c r="AC79" i="23"/>
  <c r="AC27" i="23"/>
  <c r="AF27" i="8"/>
  <c r="AP27" i="8"/>
  <c r="AF74" i="16"/>
  <c r="Z74" i="16"/>
  <c r="AG87" i="23"/>
  <c r="AG35" i="23"/>
  <c r="AK2" i="16"/>
  <c r="AL2" i="16"/>
  <c r="W15" i="25"/>
  <c r="W9" i="25"/>
  <c r="W14" i="25"/>
  <c r="AG12" i="21"/>
  <c r="Y12" i="21"/>
  <c r="S12" i="21"/>
  <c r="AG24" i="9"/>
  <c r="AE24" i="9"/>
  <c r="AO24" i="9"/>
  <c r="AF42" i="9"/>
  <c r="AP42" i="9"/>
  <c r="AF151" i="16"/>
  <c r="Z151" i="16"/>
  <c r="AG20" i="9"/>
  <c r="AE20" i="9"/>
  <c r="AO20" i="9"/>
  <c r="AF6" i="9"/>
  <c r="AP6" i="9"/>
  <c r="AM11" i="8"/>
  <c r="T11" i="8"/>
  <c r="N11" i="8"/>
  <c r="AF4" i="16"/>
  <c r="AB79" i="23"/>
  <c r="AB27" i="23"/>
  <c r="AB90" i="23"/>
  <c r="AB38" i="23"/>
  <c r="AL25" i="9"/>
  <c r="AJ25" i="9"/>
  <c r="AG24" i="8"/>
  <c r="AF148" i="16"/>
  <c r="Z148" i="16"/>
  <c r="AG58" i="23"/>
  <c r="AG6" i="23"/>
  <c r="AF127" i="16"/>
  <c r="AM15" i="9"/>
  <c r="T15" i="9"/>
  <c r="N15" i="9"/>
  <c r="N12" i="9"/>
  <c r="T12" i="9"/>
  <c r="AM12" i="9"/>
  <c r="AG64" i="23"/>
  <c r="AG12" i="23"/>
  <c r="AO42" i="9"/>
  <c r="AE42" i="9"/>
  <c r="AG42" i="9"/>
  <c r="AL43" i="8"/>
  <c r="AJ43" i="8"/>
  <c r="Z137" i="16"/>
  <c r="AF137" i="16"/>
  <c r="AF170" i="16"/>
  <c r="AE42" i="16"/>
  <c r="AL46" i="8"/>
  <c r="AJ46" i="8"/>
  <c r="AF110" i="16"/>
  <c r="Z110" i="16"/>
  <c r="AC77" i="23"/>
  <c r="AC25" i="23"/>
  <c r="AF25" i="8"/>
  <c r="AP25" i="8"/>
  <c r="AL44" i="9"/>
  <c r="AJ44" i="9"/>
  <c r="AF63" i="23"/>
  <c r="AF11" i="23"/>
  <c r="AM46" i="9"/>
  <c r="T46" i="9"/>
  <c r="N46" i="9"/>
  <c r="AG19" i="9"/>
  <c r="AE19" i="9"/>
  <c r="AO19" i="9"/>
  <c r="Z4" i="16"/>
  <c r="K4" i="21"/>
  <c r="N4" i="21"/>
  <c r="AL53" i="9"/>
  <c r="AF82" i="16"/>
  <c r="Z82" i="16"/>
  <c r="N126" i="21"/>
  <c r="K126" i="21"/>
  <c r="AE7" i="17"/>
  <c r="Z7" i="17"/>
  <c r="AF36" i="9"/>
  <c r="AP36" i="9"/>
  <c r="AG90" i="23"/>
  <c r="AG38" i="23"/>
  <c r="AL6" i="16"/>
  <c r="AK6" i="16"/>
  <c r="AG46" i="8"/>
  <c r="N20" i="8"/>
  <c r="T20" i="8"/>
  <c r="AM20" i="8"/>
  <c r="F49" i="5"/>
  <c r="AM53" i="9"/>
  <c r="F48" i="5"/>
  <c r="N26" i="21"/>
  <c r="K26" i="21"/>
  <c r="AK12" i="9"/>
  <c r="AK12" i="6"/>
  <c r="AK12" i="7"/>
  <c r="AK12" i="8"/>
  <c r="AK58" i="7"/>
  <c r="AK53" i="7"/>
  <c r="AM13" i="9"/>
  <c r="T13" i="9"/>
  <c r="N13" i="9"/>
  <c r="AC88" i="23"/>
  <c r="AP36" i="8"/>
  <c r="AF36" i="8"/>
  <c r="AC36" i="23"/>
  <c r="M11" i="21"/>
  <c r="J11" i="21"/>
  <c r="AG16" i="9"/>
  <c r="AE16" i="9"/>
  <c r="AO16" i="9"/>
  <c r="AL20" i="9"/>
  <c r="AJ20" i="9"/>
  <c r="AE58" i="8"/>
  <c r="AF58" i="8"/>
  <c r="N26" i="8"/>
  <c r="T26" i="8"/>
  <c r="AM26" i="8"/>
  <c r="AG30" i="8"/>
  <c r="AB102" i="23"/>
  <c r="AB50" i="23"/>
  <c r="N166" i="21"/>
  <c r="K166" i="21"/>
  <c r="AF129" i="16"/>
  <c r="AO29" i="8"/>
  <c r="AE29" i="8"/>
  <c r="AG29" i="8"/>
  <c r="AM42" i="8"/>
  <c r="T42" i="8"/>
  <c r="N42" i="8"/>
  <c r="Z170" i="16"/>
  <c r="K170" i="21"/>
  <c r="N170" i="21"/>
  <c r="AP43" i="8"/>
  <c r="AF43" i="8"/>
  <c r="AC43" i="23"/>
  <c r="AC95" i="23"/>
  <c r="AO40" i="9"/>
  <c r="AE40" i="9"/>
  <c r="AG40" i="9"/>
  <c r="AF73" i="23"/>
  <c r="AF21" i="23"/>
  <c r="AE43" i="17"/>
  <c r="Z43" i="17"/>
  <c r="AO49" i="9"/>
  <c r="AE49" i="9"/>
  <c r="AG49" i="9"/>
  <c r="N31" i="8"/>
  <c r="T31" i="8"/>
  <c r="AM31" i="8"/>
  <c r="Y42" i="16"/>
  <c r="J42" i="21"/>
  <c r="M42" i="21"/>
  <c r="AK49" i="8"/>
  <c r="AK49" i="6"/>
  <c r="AK49" i="7"/>
  <c r="AK49" i="9"/>
  <c r="AK5" i="8"/>
  <c r="AK5" i="9"/>
  <c r="AO24" i="8"/>
  <c r="AE24" i="8"/>
  <c r="AB24" i="23"/>
  <c r="AB76" i="23"/>
  <c r="AF32" i="16"/>
  <c r="AL31" i="9"/>
  <c r="AJ31" i="9"/>
  <c r="AK35" i="9"/>
  <c r="AK35" i="6"/>
  <c r="AK35" i="7"/>
  <c r="AK35" i="8"/>
  <c r="AO46" i="9"/>
  <c r="AE46" i="9"/>
  <c r="AG46" i="9"/>
  <c r="AO27" i="8"/>
  <c r="AE27" i="8"/>
  <c r="AG27" i="8"/>
  <c r="AO38" i="8"/>
  <c r="AE38" i="8"/>
  <c r="AG38" i="8"/>
  <c r="AE13" i="17"/>
  <c r="Z13" i="17"/>
  <c r="AO46" i="8"/>
  <c r="AE46" i="8"/>
  <c r="AB46" i="23"/>
  <c r="AB98" i="23"/>
  <c r="AL51" i="8"/>
  <c r="AJ51" i="8"/>
  <c r="AG94" i="23"/>
  <c r="AG42" i="23"/>
  <c r="AM53" i="8"/>
  <c r="E48" i="5"/>
  <c r="E49" i="5"/>
  <c r="AO30" i="8"/>
  <c r="AE30" i="8"/>
  <c r="AB30" i="23"/>
  <c r="AB82" i="23"/>
  <c r="AF74" i="23"/>
  <c r="AF22" i="23"/>
  <c r="AO50" i="8"/>
  <c r="AE50" i="8"/>
  <c r="AG50" i="8"/>
  <c r="N119" i="21"/>
  <c r="K119" i="21"/>
  <c r="AC83" i="23"/>
  <c r="AC31" i="23"/>
  <c r="AF31" i="8"/>
  <c r="AP31" i="8"/>
  <c r="AB95" i="23"/>
  <c r="AB43" i="23"/>
  <c r="Z26" i="16"/>
  <c r="AF26" i="16"/>
  <c r="Z166" i="16"/>
  <c r="AF166" i="16"/>
  <c r="AE33" i="17"/>
  <c r="Z33" i="17"/>
  <c r="N78" i="23"/>
  <c r="N26" i="23"/>
  <c r="AG92" i="23"/>
  <c r="AG40" i="23"/>
  <c r="AF46" i="9"/>
  <c r="AP46" i="9"/>
  <c r="AF20" i="9"/>
  <c r="AP20" i="9"/>
  <c r="N108" i="21"/>
  <c r="K108" i="21"/>
  <c r="N158" i="21"/>
  <c r="K158" i="21"/>
  <c r="AJ11" i="21"/>
  <c r="V11" i="21"/>
  <c r="N112" i="21"/>
  <c r="V13" i="25"/>
  <c r="V7" i="25"/>
  <c r="N161" i="21"/>
  <c r="K161" i="21"/>
  <c r="AC75" i="23"/>
  <c r="AC23" i="23"/>
  <c r="AF23" i="8"/>
  <c r="AP23" i="8"/>
  <c r="AC98" i="23"/>
  <c r="AC46" i="23"/>
  <c r="AF46" i="8"/>
  <c r="AP46" i="8"/>
  <c r="AL34" i="9"/>
  <c r="AJ34" i="9"/>
  <c r="AB68" i="23"/>
  <c r="AB16" i="23"/>
  <c r="AB67" i="23"/>
  <c r="AB15" i="23"/>
  <c r="N69" i="21"/>
  <c r="K69" i="21"/>
  <c r="AF16" i="9"/>
  <c r="AP16" i="9"/>
  <c r="AG98" i="23"/>
  <c r="AG46" i="23"/>
  <c r="N116" i="21"/>
  <c r="K116" i="21"/>
  <c r="D13" i="25"/>
  <c r="AG35" i="8"/>
  <c r="AM47" i="9"/>
  <c r="T47" i="9"/>
  <c r="N47" i="9"/>
  <c r="AL16" i="9"/>
  <c r="AJ16" i="9"/>
  <c r="AL41" i="8"/>
  <c r="AJ41" i="8"/>
  <c r="N60" i="21"/>
  <c r="K60" i="21"/>
  <c r="AB63" i="23"/>
  <c r="AB11" i="23"/>
  <c r="AF65" i="16"/>
  <c r="AM51" i="8"/>
  <c r="T51" i="8"/>
  <c r="N51" i="8"/>
  <c r="N50" i="21"/>
  <c r="K50" i="21"/>
  <c r="AL9" i="9"/>
  <c r="AJ9" i="9"/>
  <c r="AL5" i="16"/>
  <c r="AK5" i="16"/>
  <c r="AF156" i="16"/>
  <c r="Z156" i="16"/>
  <c r="N84" i="23"/>
  <c r="N32" i="23"/>
  <c r="AL45" i="8"/>
  <c r="AJ45" i="8"/>
  <c r="AF37" i="9"/>
  <c r="AP37" i="9"/>
  <c r="AF102" i="23"/>
  <c r="AF50" i="23"/>
  <c r="N72" i="21"/>
  <c r="K72" i="21"/>
  <c r="N167" i="21"/>
  <c r="K167" i="21"/>
  <c r="AF45" i="9"/>
  <c r="AP45" i="9"/>
  <c r="AE6" i="16"/>
  <c r="AG27" i="9"/>
  <c r="AE27" i="9"/>
  <c r="AO27" i="9"/>
  <c r="AE20" i="17"/>
  <c r="Z20" i="17"/>
  <c r="AG25" i="9"/>
  <c r="AE25" i="9"/>
  <c r="AO25" i="9"/>
  <c r="N63" i="23"/>
  <c r="N11" i="23"/>
  <c r="AL42" i="8"/>
  <c r="AJ42" i="8"/>
  <c r="AL37" i="8"/>
  <c r="AJ37" i="8"/>
  <c r="N101" i="21"/>
  <c r="K101" i="21"/>
  <c r="AF15" i="9"/>
  <c r="AP15" i="9"/>
  <c r="AE13" i="16"/>
  <c r="AC97" i="23"/>
  <c r="AC45" i="23"/>
  <c r="AF45" i="8"/>
  <c r="AP45" i="8"/>
  <c r="AF83" i="16"/>
  <c r="Z83" i="16"/>
  <c r="AG77" i="23"/>
  <c r="AG25" i="23"/>
  <c r="AM28" i="9"/>
  <c r="T28" i="9"/>
  <c r="N28" i="9"/>
  <c r="AL4" i="16"/>
  <c r="AK4" i="16"/>
  <c r="AV6" i="16"/>
  <c r="AU6" i="16"/>
  <c r="M40" i="21"/>
  <c r="J40" i="21"/>
  <c r="AL40" i="8"/>
  <c r="AJ40" i="8"/>
  <c r="D7" i="25"/>
  <c r="X7" i="25"/>
  <c r="X13" i="25"/>
  <c r="AO35" i="8"/>
  <c r="AE35" i="8"/>
  <c r="AB35" i="23"/>
  <c r="AB87" i="23"/>
  <c r="AC65" i="23"/>
  <c r="AC13" i="23"/>
  <c r="AF13" i="8"/>
  <c r="AP13" i="8"/>
  <c r="AF77" i="23"/>
  <c r="AF25" i="23"/>
  <c r="AF25" i="9"/>
  <c r="AP25" i="9"/>
  <c r="Z116" i="16"/>
  <c r="AF116" i="16"/>
  <c r="AG7" i="21"/>
  <c r="Y7" i="21"/>
  <c r="S7" i="21"/>
  <c r="N82" i="23"/>
  <c r="N30" i="23"/>
  <c r="Z65" i="16"/>
  <c r="K65" i="21"/>
  <c r="N65" i="21"/>
  <c r="Y13" i="16"/>
  <c r="J13" i="21"/>
  <c r="M13" i="21"/>
  <c r="AF77" i="16"/>
  <c r="Z77" i="16"/>
  <c r="W11" i="25"/>
  <c r="AK16" i="8"/>
  <c r="AK16" i="9"/>
  <c r="Y6" i="16"/>
  <c r="J6" i="21"/>
  <c r="M6" i="21"/>
  <c r="AF118" i="16"/>
  <c r="N100" i="23"/>
  <c r="N48" i="23"/>
  <c r="AE24" i="17"/>
  <c r="Z24" i="17"/>
  <c r="N20" i="9"/>
  <c r="T20" i="9"/>
  <c r="AM20" i="9"/>
  <c r="AG91" i="23"/>
  <c r="AG39" i="23"/>
  <c r="N162" i="21"/>
  <c r="K162" i="21"/>
  <c r="AL26" i="8"/>
  <c r="AJ26" i="8"/>
  <c r="M38" i="21"/>
  <c r="J38" i="21"/>
  <c r="AF150" i="16"/>
  <c r="Z150" i="16"/>
  <c r="AL39" i="9"/>
  <c r="AJ39" i="9"/>
  <c r="N77" i="23"/>
  <c r="N25" i="23"/>
  <c r="AK42" i="9"/>
  <c r="AK42" i="6"/>
  <c r="AK42" i="7"/>
  <c r="AK42" i="8"/>
  <c r="AK38" i="8"/>
  <c r="AK38" i="6"/>
  <c r="AK38" i="7"/>
  <c r="AK38" i="9"/>
  <c r="Z32" i="16"/>
  <c r="K32" i="21"/>
  <c r="N32" i="21"/>
  <c r="AF40" i="9"/>
  <c r="AP40" i="9"/>
  <c r="Y11" i="16"/>
  <c r="AE11" i="16"/>
  <c r="N31" i="9"/>
  <c r="T31" i="9"/>
  <c r="AM31" i="9"/>
  <c r="N99" i="23"/>
  <c r="N47" i="23"/>
  <c r="Z126" i="16"/>
  <c r="AF126" i="16"/>
  <c r="N85" i="21"/>
  <c r="K85" i="21"/>
  <c r="Z127" i="16"/>
  <c r="K127" i="21"/>
  <c r="N127" i="21"/>
  <c r="AF28" i="16"/>
  <c r="N19" i="9"/>
  <c r="T19" i="9"/>
  <c r="AM19" i="9"/>
  <c r="Z129" i="16"/>
  <c r="K129" i="21"/>
  <c r="N129" i="21"/>
  <c r="AE49" i="17"/>
  <c r="Z49" i="17"/>
  <c r="AF159" i="16"/>
  <c r="AB12" i="21"/>
  <c r="AF104" i="16"/>
  <c r="Z104" i="16"/>
  <c r="AE9" i="17"/>
  <c r="Z9" i="17"/>
  <c r="AB80" i="23"/>
  <c r="AB28" i="23"/>
  <c r="AG9" i="21"/>
  <c r="Y9" i="21"/>
  <c r="S9" i="21"/>
  <c r="M9" i="21"/>
  <c r="J9" i="21"/>
  <c r="N71" i="21"/>
  <c r="K71" i="21"/>
  <c r="N146" i="21"/>
  <c r="K146" i="21"/>
  <c r="AE15" i="16"/>
  <c r="AF33" i="9"/>
  <c r="AP33" i="9"/>
  <c r="AG20" i="8"/>
  <c r="AE20" i="16"/>
  <c r="AL7" i="8"/>
  <c r="AJ7" i="8"/>
  <c r="AE45" i="17"/>
  <c r="Z45" i="17"/>
  <c r="AG12" i="9"/>
  <c r="AE12" i="9"/>
  <c r="AO12" i="9"/>
  <c r="Y38" i="16"/>
  <c r="AE38" i="16"/>
  <c r="AF47" i="9"/>
  <c r="AP47" i="9"/>
  <c r="AF66" i="16"/>
  <c r="AF62" i="23"/>
  <c r="AF10" i="23"/>
  <c r="AG74" i="23"/>
  <c r="AG22" i="23"/>
  <c r="R32" i="28"/>
  <c r="AM50" i="7"/>
  <c r="U32" i="28"/>
  <c r="AF20" i="16"/>
  <c r="N93" i="23"/>
  <c r="N41" i="23"/>
  <c r="R15" i="25"/>
  <c r="R9" i="25"/>
  <c r="R14" i="25"/>
  <c r="AC94" i="23"/>
  <c r="AP42" i="8"/>
  <c r="AF42" i="8"/>
  <c r="AC42" i="23"/>
  <c r="Z69" i="16"/>
  <c r="AF69" i="16"/>
  <c r="AK46" i="8"/>
  <c r="AK46" i="6"/>
  <c r="AK46" i="7"/>
  <c r="AK46" i="9"/>
  <c r="R13" i="25"/>
  <c r="R7" i="25"/>
  <c r="AC82" i="23"/>
  <c r="AP30" i="8"/>
  <c r="AF30" i="8"/>
  <c r="AC30" i="23"/>
  <c r="N30" i="21"/>
  <c r="K30" i="21"/>
  <c r="AK5" i="7"/>
  <c r="AG5" i="23"/>
  <c r="AG57" i="23"/>
  <c r="W7" i="25"/>
  <c r="W13" i="25"/>
  <c r="Z60" i="16"/>
  <c r="AF60" i="16"/>
  <c r="N48" i="8"/>
  <c r="T48" i="8"/>
  <c r="AM48" i="8"/>
  <c r="Y40" i="16"/>
  <c r="AE40" i="16"/>
  <c r="AK31" i="8"/>
  <c r="AK31" i="9"/>
  <c r="N33" i="9"/>
  <c r="T33" i="9"/>
  <c r="AM33" i="9"/>
  <c r="AG84" i="23"/>
  <c r="AG32" i="23"/>
  <c r="AP19" i="8"/>
  <c r="AF19" i="8"/>
  <c r="AC19" i="23"/>
  <c r="AC71" i="23"/>
  <c r="AF26" i="9"/>
  <c r="AP26" i="9"/>
  <c r="AF78" i="23"/>
  <c r="AF26" i="23"/>
  <c r="AG9" i="8"/>
  <c r="N160" i="21"/>
  <c r="K160" i="21"/>
  <c r="AF32" i="9"/>
  <c r="AP32" i="9"/>
  <c r="AM15" i="8"/>
  <c r="T15" i="8"/>
  <c r="N15" i="8"/>
  <c r="AF154" i="16"/>
  <c r="Z154" i="16"/>
  <c r="AK6" i="9"/>
  <c r="AK6" i="7"/>
  <c r="AK6" i="8"/>
  <c r="N46" i="8"/>
  <c r="T46" i="8"/>
  <c r="AM46" i="8"/>
  <c r="AE21" i="17"/>
  <c r="Z21" i="17"/>
  <c r="Z119" i="16"/>
  <c r="AF119" i="16"/>
  <c r="AO43" i="8"/>
  <c r="AE43" i="8"/>
  <c r="AG43" i="8"/>
  <c r="AL48" i="8"/>
  <c r="AJ48" i="8"/>
  <c r="Z28" i="16"/>
  <c r="K28" i="21"/>
  <c r="N28" i="21"/>
  <c r="AF10" i="9"/>
  <c r="AP10" i="9"/>
  <c r="AK40" i="9"/>
  <c r="AK40" i="6"/>
  <c r="AK40" i="7"/>
  <c r="AK40" i="8"/>
  <c r="AO28" i="8"/>
  <c r="AE28" i="8"/>
  <c r="AG28" i="8"/>
  <c r="AF93" i="16"/>
  <c r="Z93" i="16"/>
  <c r="Z71" i="16"/>
  <c r="AF71" i="16"/>
  <c r="N6" i="8"/>
  <c r="T6" i="8"/>
  <c r="AM6" i="8"/>
  <c r="Z146" i="16"/>
  <c r="AF146" i="16"/>
  <c r="AG39" i="8"/>
  <c r="Y9" i="16"/>
  <c r="AE9" i="16"/>
  <c r="AO39" i="8"/>
  <c r="AE39" i="8"/>
  <c r="AB39" i="23"/>
  <c r="AB91" i="23"/>
  <c r="AE5" i="17"/>
  <c r="Z5" i="17"/>
  <c r="AK45" i="9"/>
  <c r="AK45" i="8"/>
  <c r="AL17" i="9"/>
  <c r="AJ17" i="9"/>
  <c r="N68" i="21"/>
  <c r="K68" i="21"/>
  <c r="Y15" i="16"/>
  <c r="J15" i="21"/>
  <c r="M15" i="21"/>
  <c r="Z160" i="16"/>
  <c r="AF160" i="16"/>
  <c r="AK41" i="9"/>
  <c r="AK41" i="8"/>
  <c r="Z161" i="16"/>
  <c r="AF161" i="16"/>
  <c r="Y20" i="16"/>
  <c r="J20" i="21"/>
  <c r="M20" i="21"/>
  <c r="AK22" i="9"/>
  <c r="AK22" i="6"/>
  <c r="AK22" i="7"/>
  <c r="AK22" i="8"/>
  <c r="AO16" i="8"/>
  <c r="AE16" i="8"/>
  <c r="AG16" i="8"/>
  <c r="Z66" i="16"/>
  <c r="K66" i="21"/>
  <c r="N66" i="21"/>
  <c r="AP18" i="8"/>
  <c r="AF18" i="8"/>
  <c r="AC18" i="23"/>
  <c r="AC70" i="23"/>
  <c r="AP47" i="8"/>
  <c r="AF47" i="8"/>
  <c r="AC47" i="23"/>
  <c r="AC99" i="23"/>
  <c r="N6" i="21"/>
  <c r="K6" i="21"/>
  <c r="N18" i="8"/>
  <c r="T18" i="8"/>
  <c r="AM18" i="8"/>
  <c r="Z68" i="16"/>
  <c r="AF68" i="16"/>
  <c r="AO15" i="8"/>
  <c r="AE15" i="8"/>
  <c r="AG15" i="8"/>
  <c r="AK45" i="6"/>
  <c r="AK45" i="7"/>
  <c r="AG45" i="23"/>
  <c r="AG97" i="23"/>
  <c r="N82" i="21"/>
  <c r="K82" i="21"/>
  <c r="Z20" i="16"/>
  <c r="K20" i="21"/>
  <c r="N20" i="21"/>
  <c r="AF85" i="16"/>
  <c r="Z85" i="16"/>
  <c r="AK16" i="7"/>
  <c r="AG16" i="23"/>
  <c r="AG68" i="23"/>
  <c r="N7" i="21"/>
  <c r="K7" i="21"/>
  <c r="AF23" i="9"/>
  <c r="AP23" i="9"/>
  <c r="AL13" i="9"/>
  <c r="AJ13" i="9"/>
  <c r="AK25" i="9"/>
  <c r="AK25" i="6"/>
  <c r="AK25" i="7"/>
  <c r="AK25" i="8"/>
  <c r="AO11" i="8"/>
  <c r="AE11" i="8"/>
  <c r="AG11" i="8"/>
  <c r="Z118" i="16"/>
  <c r="K118" i="21"/>
  <c r="N118" i="21"/>
  <c r="AF9" i="9"/>
  <c r="AP9" i="9"/>
  <c r="N45" i="9"/>
  <c r="T45" i="9"/>
  <c r="AM45" i="9"/>
  <c r="Z7" i="16"/>
  <c r="AF7" i="16"/>
  <c r="AG81" i="23"/>
  <c r="AG29" i="23"/>
  <c r="Z50" i="16"/>
  <c r="AF50" i="16"/>
  <c r="AK29" i="8"/>
  <c r="AK29" i="6"/>
  <c r="AK29" i="7"/>
  <c r="AK29" i="9"/>
  <c r="AK31" i="6"/>
  <c r="AK31" i="7"/>
  <c r="AG31" i="23"/>
  <c r="AG83" i="23"/>
  <c r="AF17" i="9"/>
  <c r="AP17" i="9"/>
  <c r="AL28" i="8"/>
  <c r="AJ28" i="8"/>
  <c r="AB5" i="23"/>
  <c r="AB57" i="23"/>
  <c r="R11" i="25"/>
  <c r="Z6" i="16"/>
  <c r="AF6" i="16"/>
  <c r="Z30" i="16"/>
  <c r="AF30" i="16"/>
  <c r="AL45" i="9"/>
  <c r="AJ45" i="9"/>
  <c r="AO9" i="8"/>
  <c r="AE9" i="8"/>
  <c r="AB9" i="23"/>
  <c r="AB61" i="23"/>
  <c r="AF98" i="23"/>
  <c r="AF46" i="23"/>
  <c r="AF41" i="9"/>
  <c r="AP41" i="9"/>
  <c r="AL50" i="8"/>
  <c r="AJ50" i="8"/>
  <c r="N17" i="21"/>
  <c r="K17" i="21"/>
  <c r="AL25" i="8"/>
  <c r="AJ25" i="8"/>
  <c r="U7" i="28"/>
  <c r="AM19" i="7"/>
  <c r="R7" i="28"/>
  <c r="AB71" i="23"/>
  <c r="AB19" i="23"/>
  <c r="AK53" i="9"/>
  <c r="N141" i="21"/>
  <c r="K141" i="21"/>
  <c r="AM35" i="9"/>
  <c r="T35" i="9"/>
  <c r="N35" i="9"/>
  <c r="N8" i="21"/>
  <c r="K8" i="21"/>
  <c r="AF82" i="23"/>
  <c r="AF30" i="23"/>
  <c r="AL49" i="8"/>
  <c r="AJ49" i="8"/>
  <c r="N85" i="23"/>
  <c r="N33" i="23"/>
  <c r="AF10" i="16"/>
  <c r="N24" i="8"/>
  <c r="T24" i="8"/>
  <c r="AM24" i="8"/>
  <c r="M43" i="21"/>
  <c r="J43" i="21"/>
  <c r="N49" i="8"/>
  <c r="T49" i="8"/>
  <c r="AM49" i="8"/>
  <c r="AG88" i="23"/>
  <c r="AG36" i="23"/>
  <c r="AG69" i="23"/>
  <c r="AG17" i="23"/>
  <c r="N101" i="23"/>
  <c r="N49" i="23"/>
  <c r="M5" i="21"/>
  <c r="J5" i="21"/>
  <c r="N155" i="21"/>
  <c r="K155" i="21"/>
  <c r="AF90" i="23"/>
  <c r="AF38" i="23"/>
  <c r="AE17" i="17"/>
  <c r="Z17" i="17"/>
  <c r="N58" i="23"/>
  <c r="N6" i="23"/>
  <c r="N110" i="21"/>
  <c r="K110" i="21"/>
  <c r="N102" i="21"/>
  <c r="K102" i="21"/>
  <c r="AF36" i="16"/>
  <c r="N140" i="21"/>
  <c r="K140" i="21"/>
  <c r="AL53" i="8"/>
  <c r="N156" i="21"/>
  <c r="K156" i="21"/>
  <c r="AM21" i="9"/>
  <c r="T21" i="9"/>
  <c r="N21" i="9"/>
  <c r="AB94" i="23"/>
  <c r="AB42" i="23"/>
  <c r="M45" i="21"/>
  <c r="J45" i="21"/>
  <c r="AM39" i="8"/>
  <c r="T39" i="8"/>
  <c r="N39" i="8"/>
  <c r="AG12" i="8"/>
  <c r="AG32" i="9"/>
  <c r="AE32" i="9"/>
  <c r="AO32" i="9"/>
  <c r="AF145" i="16"/>
  <c r="AF108" i="16"/>
  <c r="Z108" i="16"/>
  <c r="N58" i="21"/>
  <c r="K58" i="21"/>
  <c r="AF88" i="16"/>
  <c r="Z88" i="16"/>
  <c r="AF58" i="23"/>
  <c r="AF6" i="23"/>
  <c r="AL11" i="8"/>
  <c r="AJ11" i="8"/>
  <c r="AF23" i="16"/>
  <c r="AF70" i="23"/>
  <c r="AF18" i="23"/>
  <c r="AG21" i="9"/>
  <c r="AE21" i="9"/>
  <c r="AO21" i="9"/>
  <c r="N138" i="21"/>
  <c r="K138" i="21"/>
  <c r="AM16" i="9"/>
  <c r="T16" i="9"/>
  <c r="N16" i="9"/>
  <c r="N90" i="21"/>
  <c r="K90" i="21"/>
  <c r="AG72" i="23"/>
  <c r="AG20" i="23"/>
  <c r="M49" i="21"/>
  <c r="J49" i="21"/>
  <c r="AC62" i="23"/>
  <c r="AC10" i="23"/>
  <c r="AF10" i="8"/>
  <c r="AP10" i="8"/>
  <c r="AF107" i="16"/>
  <c r="Z107" i="16"/>
  <c r="AM14" i="8"/>
  <c r="T14" i="8"/>
  <c r="N14" i="8"/>
  <c r="AF13" i="9"/>
  <c r="AP13" i="9"/>
  <c r="AE19" i="17"/>
  <c r="Z19" i="17"/>
  <c r="N151" i="21"/>
  <c r="K151" i="21"/>
  <c r="AF52" i="16"/>
  <c r="AF97" i="16"/>
  <c r="Z97" i="16"/>
  <c r="N60" i="23"/>
  <c r="N8" i="23"/>
  <c r="AL47" i="8"/>
  <c r="AJ47" i="8"/>
  <c r="AK41" i="6"/>
  <c r="AK41" i="7"/>
  <c r="AG41" i="23"/>
  <c r="AG93" i="23"/>
  <c r="AK39" i="8"/>
  <c r="AK39" i="6"/>
  <c r="AK39" i="7"/>
  <c r="AK39" i="9"/>
  <c r="AF66" i="23"/>
  <c r="AF14" i="23"/>
  <c r="AE10" i="17"/>
  <c r="Z10" i="17"/>
  <c r="AL32" i="9"/>
  <c r="AJ32" i="9"/>
  <c r="N105" i="21"/>
  <c r="K105" i="21"/>
  <c r="Z17" i="16"/>
  <c r="AF17" i="16"/>
  <c r="R17" i="28"/>
  <c r="AM34" i="7"/>
  <c r="U17" i="28"/>
  <c r="AJ25" i="7"/>
  <c r="AL25" i="7"/>
  <c r="N41" i="9"/>
  <c r="T41" i="9"/>
  <c r="AM41" i="9"/>
  <c r="AG32" i="8"/>
  <c r="N147" i="21"/>
  <c r="K147" i="21"/>
  <c r="AL41" i="9"/>
  <c r="AJ41" i="9"/>
  <c r="AG80" i="23"/>
  <c r="AG28" i="23"/>
  <c r="AK21" i="8"/>
  <c r="AK21" i="9"/>
  <c r="AO5" i="8"/>
  <c r="AE5" i="8"/>
  <c r="AG5" i="8"/>
  <c r="AE53" i="8"/>
  <c r="Z10" i="16"/>
  <c r="K10" i="21"/>
  <c r="N10" i="21"/>
  <c r="Z167" i="16"/>
  <c r="AF167" i="16"/>
  <c r="Y43" i="16"/>
  <c r="AE43" i="16"/>
  <c r="AG31" i="8"/>
  <c r="AL10" i="9"/>
  <c r="AJ10" i="9"/>
  <c r="AE11" i="21"/>
  <c r="N103" i="23"/>
  <c r="N51" i="23"/>
  <c r="M41" i="21"/>
  <c r="J41" i="21"/>
  <c r="AL20" i="7"/>
  <c r="AF20" i="23"/>
  <c r="AF72" i="23"/>
  <c r="N41" i="8"/>
  <c r="T41" i="8"/>
  <c r="AM41" i="8"/>
  <c r="Y5" i="16"/>
  <c r="AE5" i="16"/>
  <c r="AG17" i="8"/>
  <c r="AL33" i="8"/>
  <c r="AJ33" i="8"/>
  <c r="N9" i="21"/>
  <c r="K9" i="21"/>
  <c r="AF87" i="16"/>
  <c r="Z87" i="16"/>
  <c r="AF63" i="16"/>
  <c r="AF8" i="9"/>
  <c r="AP8" i="9"/>
  <c r="N67" i="21"/>
  <c r="K67" i="21"/>
  <c r="AO12" i="8"/>
  <c r="AE12" i="8"/>
  <c r="AB12" i="23"/>
  <c r="AB64" i="23"/>
  <c r="N22" i="21"/>
  <c r="K22" i="21"/>
  <c r="M25" i="21"/>
  <c r="J25" i="21"/>
  <c r="N62" i="23"/>
  <c r="N10" i="23"/>
  <c r="AK21" i="6"/>
  <c r="AK21" i="7"/>
  <c r="AG21" i="23"/>
  <c r="AG73" i="23"/>
  <c r="AO17" i="8"/>
  <c r="AE17" i="8"/>
  <c r="AB17" i="23"/>
  <c r="AB69" i="23"/>
  <c r="AG37" i="8"/>
  <c r="N19" i="8"/>
  <c r="T19" i="8"/>
  <c r="AM19" i="8"/>
  <c r="AF21" i="16"/>
  <c r="N6" i="9"/>
  <c r="T6" i="9"/>
  <c r="AM6" i="9"/>
  <c r="AM30" i="9"/>
  <c r="T30" i="9"/>
  <c r="N30" i="9"/>
  <c r="N139" i="21"/>
  <c r="K139" i="21"/>
  <c r="AF95" i="23"/>
  <c r="AF43" i="23"/>
  <c r="N120" i="21"/>
  <c r="K120" i="21"/>
  <c r="N121" i="21"/>
  <c r="K121" i="21"/>
  <c r="AG61" i="23"/>
  <c r="AG9" i="23"/>
  <c r="AL22" i="8"/>
  <c r="AJ22" i="8"/>
  <c r="AF28" i="9"/>
  <c r="AP28" i="9"/>
  <c r="AG11" i="21"/>
  <c r="Y11" i="21"/>
  <c r="K112" i="21"/>
  <c r="S11" i="21"/>
  <c r="N144" i="21"/>
  <c r="K144" i="21"/>
  <c r="AM18" i="9"/>
  <c r="T18" i="9"/>
  <c r="N18" i="9"/>
  <c r="N134" i="21"/>
  <c r="K134" i="21"/>
  <c r="AC61" i="23"/>
  <c r="AP9" i="8"/>
  <c r="AF9" i="8"/>
  <c r="AC9" i="23"/>
  <c r="AF35" i="9"/>
  <c r="AP35" i="9"/>
  <c r="AF53" i="9"/>
  <c r="AM36" i="8"/>
  <c r="T36" i="8"/>
  <c r="N36" i="8"/>
  <c r="AB101" i="23"/>
  <c r="AB49" i="23"/>
  <c r="AJ12" i="21"/>
  <c r="Z159" i="16"/>
  <c r="K159" i="21"/>
  <c r="N159" i="21"/>
  <c r="V12" i="21"/>
  <c r="AO31" i="8"/>
  <c r="AE31" i="8"/>
  <c r="AB31" i="23"/>
  <c r="AB83" i="23"/>
  <c r="U10" i="28"/>
  <c r="AM26" i="7"/>
  <c r="R10" i="28"/>
  <c r="AL14" i="8"/>
  <c r="AJ14" i="8"/>
  <c r="M23" i="21"/>
  <c r="J23" i="21"/>
  <c r="AG36" i="9"/>
  <c r="AE36" i="9"/>
  <c r="AO36" i="9"/>
  <c r="AK17" i="8"/>
  <c r="AK17" i="6"/>
  <c r="AK17" i="7"/>
  <c r="AK17" i="9"/>
  <c r="AG25" i="8"/>
  <c r="AJ20" i="7"/>
  <c r="AJ20" i="8"/>
  <c r="AL20" i="8"/>
  <c r="AF92" i="23"/>
  <c r="AF40" i="23"/>
  <c r="Y25" i="16"/>
  <c r="AE25" i="16"/>
  <c r="AF81" i="23"/>
  <c r="AF29" i="23"/>
  <c r="AL22" i="7"/>
  <c r="AO18" i="9"/>
  <c r="AE18" i="9"/>
  <c r="AG18" i="9"/>
  <c r="AV8" i="16"/>
  <c r="Y41" i="16"/>
  <c r="AE41" i="16"/>
  <c r="R14" i="28"/>
  <c r="AM32" i="7"/>
  <c r="U14" i="28"/>
  <c r="Z9" i="16"/>
  <c r="AF9" i="16"/>
  <c r="T35" i="28"/>
  <c r="AM16" i="7"/>
  <c r="Q35" i="28"/>
  <c r="Z63" i="16"/>
  <c r="K63" i="21"/>
  <c r="N63" i="21"/>
  <c r="AK47" i="9"/>
  <c r="AK47" i="8"/>
  <c r="AB11" i="21"/>
  <c r="Z28" i="17"/>
  <c r="AE28" i="17"/>
  <c r="N95" i="21"/>
  <c r="K95" i="21"/>
  <c r="AB59" i="23"/>
  <c r="AB7" i="23"/>
  <c r="AF24" i="16"/>
  <c r="AO42" i="8"/>
  <c r="AE42" i="8"/>
  <c r="AG42" i="8"/>
  <c r="AO37" i="8"/>
  <c r="AE37" i="8"/>
  <c r="AB37" i="23"/>
  <c r="AB89" i="23"/>
  <c r="N43" i="8"/>
  <c r="T43" i="8"/>
  <c r="AM43" i="8"/>
  <c r="AG14" i="9"/>
  <c r="AE14" i="9"/>
  <c r="AO14" i="9"/>
  <c r="AB97" i="23"/>
  <c r="AB45" i="23"/>
  <c r="AM32" i="8"/>
  <c r="T32" i="8"/>
  <c r="N32" i="8"/>
  <c r="AM44" i="9"/>
  <c r="T44" i="9"/>
  <c r="N44" i="9"/>
  <c r="AG10" i="9"/>
  <c r="AE10" i="9"/>
  <c r="AO10" i="9"/>
  <c r="R29" i="28"/>
  <c r="AM47" i="7"/>
  <c r="U29" i="28"/>
  <c r="N73" i="23"/>
  <c r="N21" i="23"/>
  <c r="Z120" i="16"/>
  <c r="AF120" i="16"/>
  <c r="R6" i="28"/>
  <c r="AM18" i="7"/>
  <c r="U6" i="28"/>
  <c r="AG53" i="9"/>
  <c r="AL39" i="8"/>
  <c r="AJ39" i="8"/>
  <c r="U19" i="28"/>
  <c r="AM36" i="7"/>
  <c r="R19" i="28"/>
  <c r="AC72" i="23"/>
  <c r="AP20" i="8"/>
  <c r="AF20" i="8"/>
  <c r="AC20" i="23"/>
  <c r="Z121" i="16"/>
  <c r="AF121" i="16"/>
  <c r="N148" i="21"/>
  <c r="K148" i="21"/>
  <c r="M8" i="21"/>
  <c r="J8" i="21"/>
  <c r="AF89" i="16"/>
  <c r="Z89" i="16"/>
  <c r="AL7" i="9"/>
  <c r="AJ7" i="9"/>
  <c r="AF53" i="8"/>
  <c r="AK32" i="9"/>
  <c r="AK32" i="6"/>
  <c r="AK32" i="7"/>
  <c r="AK32" i="8"/>
  <c r="Z162" i="16"/>
  <c r="AF162" i="16"/>
  <c r="N86" i="23"/>
  <c r="N34" i="23"/>
  <c r="U8" i="28"/>
  <c r="AM25" i="7"/>
  <c r="R8" i="28"/>
  <c r="AO20" i="8"/>
  <c r="AE20" i="8"/>
  <c r="AB20" i="23"/>
  <c r="AB72" i="23"/>
  <c r="AO19" i="8"/>
  <c r="AE19" i="8"/>
  <c r="AG19" i="8"/>
  <c r="AL5" i="9"/>
  <c r="AJ5" i="9"/>
  <c r="AJ53" i="9"/>
  <c r="AF51" i="9"/>
  <c r="AP51" i="9"/>
  <c r="Z141" i="16"/>
  <c r="AF141" i="16"/>
  <c r="U24" i="28"/>
  <c r="AM40" i="7"/>
  <c r="R24" i="28"/>
  <c r="AL13" i="8"/>
  <c r="AJ13" i="8"/>
  <c r="Z67" i="16"/>
  <c r="AF67" i="16"/>
  <c r="Z22" i="16"/>
  <c r="AF22" i="16"/>
  <c r="Z8" i="16"/>
  <c r="AF8" i="16"/>
  <c r="AF68" i="23"/>
  <c r="AF16" i="23"/>
  <c r="Z72" i="16"/>
  <c r="AF72" i="16"/>
  <c r="AO7" i="8"/>
  <c r="AE7" i="8"/>
  <c r="AG7" i="8"/>
  <c r="Z36" i="16"/>
  <c r="K36" i="21"/>
  <c r="N36" i="21"/>
  <c r="AO32" i="8"/>
  <c r="AE32" i="8"/>
  <c r="AB32" i="23"/>
  <c r="AB84" i="23"/>
  <c r="Z41" i="17"/>
  <c r="AE41" i="17"/>
  <c r="AJ5" i="17"/>
  <c r="AJ12" i="17"/>
  <c r="AJ53" i="8"/>
  <c r="AL5" i="8"/>
  <c r="AJ5" i="8"/>
  <c r="AK48" i="9"/>
  <c r="AK48" i="8"/>
  <c r="U12" i="28"/>
  <c r="AM30" i="7"/>
  <c r="R12" i="28"/>
  <c r="AF7" i="9"/>
  <c r="AP7" i="9"/>
  <c r="U22" i="28"/>
  <c r="AM38" i="7"/>
  <c r="R22" i="28"/>
  <c r="AL29" i="9"/>
  <c r="AJ29" i="9"/>
  <c r="AG62" i="23"/>
  <c r="AG10" i="23"/>
  <c r="AO49" i="8"/>
  <c r="AE49" i="8"/>
  <c r="AG49" i="8"/>
  <c r="AK36" i="8"/>
  <c r="AK36" i="6"/>
  <c r="AK36" i="7"/>
  <c r="AK36" i="9"/>
  <c r="AO28" i="9"/>
  <c r="AE28" i="9"/>
  <c r="AG28" i="9"/>
  <c r="AF153" i="16"/>
  <c r="Z153" i="16"/>
  <c r="AK28" i="8"/>
  <c r="AK28" i="6"/>
  <c r="AK28" i="7"/>
  <c r="AK28" i="9"/>
  <c r="AL19" i="8"/>
  <c r="AJ19" i="8"/>
  <c r="AE38" i="17"/>
  <c r="Z38" i="17"/>
  <c r="AK10" i="8"/>
  <c r="AK10" i="7"/>
  <c r="AK10" i="9"/>
  <c r="Y23" i="16"/>
  <c r="AE23" i="16"/>
  <c r="N28" i="8"/>
  <c r="T28" i="8"/>
  <c r="AM28" i="8"/>
  <c r="T25" i="7"/>
  <c r="AO25" i="8"/>
  <c r="AE25" i="8"/>
  <c r="AB25" i="23"/>
  <c r="AB77" i="23"/>
  <c r="N26" i="9"/>
  <c r="T26" i="9"/>
  <c r="AM26" i="9"/>
  <c r="AO11" i="9"/>
  <c r="AE11" i="9"/>
  <c r="AG11" i="9"/>
  <c r="AF76" i="16"/>
  <c r="Z76" i="16"/>
  <c r="AJ22" i="7"/>
  <c r="AJ22" i="9"/>
  <c r="AL22" i="9"/>
  <c r="Z145" i="16"/>
  <c r="K145" i="21"/>
  <c r="N145" i="21"/>
  <c r="AE39" i="17"/>
  <c r="Z39" i="17"/>
  <c r="Z21" i="16"/>
  <c r="K21" i="21"/>
  <c r="N21" i="21"/>
  <c r="AP35" i="8"/>
  <c r="AF35" i="8"/>
  <c r="AC35" i="23"/>
  <c r="AC87" i="23"/>
  <c r="Z23" i="16"/>
  <c r="K23" i="21"/>
  <c r="N23" i="21"/>
  <c r="AF83" i="23"/>
  <c r="AF31" i="23"/>
  <c r="Y45" i="16"/>
  <c r="AE45" i="16"/>
  <c r="AK47" i="6"/>
  <c r="AK47" i="7"/>
  <c r="AG47" i="23"/>
  <c r="AG99" i="23"/>
  <c r="Z112" i="16"/>
  <c r="AF112" i="16"/>
  <c r="AU5" i="16"/>
  <c r="AV5" i="16"/>
  <c r="AF84" i="16"/>
  <c r="Z84" i="16"/>
  <c r="AE30" i="17"/>
  <c r="Z30" i="17"/>
  <c r="AP55" i="8"/>
  <c r="AP53" i="8"/>
  <c r="Z140" i="16"/>
  <c r="AF140" i="16"/>
  <c r="Z58" i="16"/>
  <c r="AF58" i="16"/>
  <c r="AO47" i="9"/>
  <c r="AE47" i="9"/>
  <c r="AG47" i="9"/>
  <c r="Z24" i="16"/>
  <c r="K24" i="21"/>
  <c r="N24" i="21"/>
  <c r="N30" i="8"/>
  <c r="T30" i="8"/>
  <c r="AM30" i="8"/>
  <c r="AF78" i="16"/>
  <c r="Z78" i="16"/>
  <c r="L67" i="6"/>
  <c r="N100" i="21"/>
  <c r="V10" i="21"/>
  <c r="AJ10" i="21"/>
  <c r="N29" i="21"/>
  <c r="K29" i="21"/>
  <c r="AK48" i="6"/>
  <c r="AK48" i="7"/>
  <c r="AG48" i="23"/>
  <c r="AG100" i="23"/>
  <c r="AV9" i="16"/>
  <c r="AU8" i="16"/>
  <c r="AU9" i="16"/>
  <c r="AU12" i="16"/>
  <c r="AO45" i="8"/>
  <c r="AE45" i="8"/>
  <c r="AG45" i="8"/>
  <c r="Q34" i="28"/>
  <c r="AM15" i="7"/>
  <c r="T34" i="28"/>
  <c r="N76" i="21"/>
  <c r="K76" i="21"/>
  <c r="I14" i="28"/>
  <c r="AM14" i="7"/>
  <c r="F14" i="28"/>
  <c r="R20" i="28"/>
  <c r="U20" i="28"/>
  <c r="U25" i="28"/>
  <c r="R15" i="28"/>
  <c r="R25" i="28"/>
  <c r="T42" i="7"/>
  <c r="AM42" i="7"/>
  <c r="U15" i="28"/>
  <c r="AF21" i="9"/>
  <c r="AP21" i="9"/>
  <c r="N89" i="23"/>
  <c r="N37" i="23"/>
  <c r="Z138" i="16"/>
  <c r="AF138" i="16"/>
  <c r="R27" i="28"/>
  <c r="AM45" i="7"/>
  <c r="U27" i="28"/>
  <c r="U28" i="28"/>
  <c r="N46" i="6"/>
  <c r="N46" i="7"/>
  <c r="T46" i="7"/>
  <c r="AM46" i="7"/>
  <c r="R28" i="28"/>
  <c r="I7" i="28"/>
  <c r="F7" i="28"/>
  <c r="I8" i="28"/>
  <c r="AM8" i="7"/>
  <c r="F8" i="28"/>
  <c r="AK20" i="8"/>
  <c r="AK20" i="6"/>
  <c r="AK20" i="7"/>
  <c r="AK20" i="9"/>
  <c r="U18" i="28"/>
  <c r="AM35" i="7"/>
  <c r="R18" i="28"/>
  <c r="AE4" i="17"/>
  <c r="Z4" i="17"/>
  <c r="AK9" i="9"/>
  <c r="AK9" i="7"/>
  <c r="AK9" i="8"/>
  <c r="AP40" i="8"/>
  <c r="AF40" i="8"/>
  <c r="AC40" i="23"/>
  <c r="AC92" i="23"/>
  <c r="N76" i="23"/>
  <c r="N24" i="23"/>
  <c r="M16" i="21"/>
  <c r="J16" i="21"/>
  <c r="AL8" i="9"/>
  <c r="AJ8" i="9"/>
  <c r="AL35" i="8"/>
  <c r="AJ35" i="8"/>
  <c r="AF96" i="16"/>
  <c r="Z96" i="16"/>
  <c r="AM22" i="8"/>
  <c r="T22" i="8"/>
  <c r="N22" i="8"/>
  <c r="Z134" i="16"/>
  <c r="AF134" i="16"/>
  <c r="AE12" i="16"/>
  <c r="AL18" i="9"/>
  <c r="AJ18" i="9"/>
  <c r="AJ6" i="17"/>
  <c r="Z29" i="17"/>
  <c r="AE29" i="17"/>
  <c r="AE10" i="21"/>
  <c r="Y49" i="16"/>
  <c r="AE49" i="16"/>
  <c r="AF115" i="16"/>
  <c r="N8" i="8"/>
  <c r="T8" i="8"/>
  <c r="AM8" i="8"/>
  <c r="N58" i="7"/>
  <c r="N53" i="7"/>
  <c r="Z29" i="16"/>
  <c r="AF29" i="16"/>
  <c r="N71" i="23"/>
  <c r="N19" i="23"/>
  <c r="AB103" i="23"/>
  <c r="AB51" i="23"/>
  <c r="AG44" i="9"/>
  <c r="AE44" i="9"/>
  <c r="AO44" i="9"/>
  <c r="AF79" i="16"/>
  <c r="Z79" i="16"/>
  <c r="AG18" i="8"/>
  <c r="N107" i="21"/>
  <c r="K107" i="21"/>
  <c r="AE15" i="17"/>
  <c r="Z15" i="17"/>
  <c r="AL27" i="9"/>
  <c r="AJ27" i="9"/>
  <c r="AE4" i="16"/>
  <c r="AG17" i="9"/>
  <c r="AE17" i="9"/>
  <c r="AO17" i="9"/>
  <c r="AC93" i="23"/>
  <c r="AC41" i="23"/>
  <c r="AF41" i="8"/>
  <c r="AP41" i="8"/>
  <c r="AG103" i="23"/>
  <c r="AG51" i="23"/>
  <c r="N164" i="21"/>
  <c r="K164" i="21"/>
  <c r="AB60" i="23"/>
  <c r="AB8" i="23"/>
  <c r="AF69" i="23"/>
  <c r="AF17" i="23"/>
  <c r="AL50" i="9"/>
  <c r="AJ50" i="9"/>
  <c r="N96" i="21"/>
  <c r="K96" i="21"/>
  <c r="N72" i="23"/>
  <c r="N20" i="23"/>
  <c r="AF29" i="9"/>
  <c r="AP29" i="9"/>
  <c r="AE8" i="17"/>
  <c r="Z8" i="17"/>
  <c r="AA7" i="21"/>
  <c r="AG96" i="23"/>
  <c r="AG44" i="23"/>
  <c r="AL37" i="7"/>
  <c r="AJ8" i="17"/>
  <c r="AE3" i="17"/>
  <c r="Z3" i="17"/>
  <c r="AF168" i="16"/>
  <c r="AF65" i="23"/>
  <c r="AF13" i="23"/>
  <c r="AC100" i="23"/>
  <c r="AC48" i="23"/>
  <c r="AF48" i="8"/>
  <c r="AP48" i="8"/>
  <c r="N75" i="21"/>
  <c r="K75" i="21"/>
  <c r="T16" i="7"/>
  <c r="AP16" i="8"/>
  <c r="AF16" i="8"/>
  <c r="AC16" i="23"/>
  <c r="AC68" i="23"/>
  <c r="Y4" i="16"/>
  <c r="J4" i="21"/>
  <c r="M4" i="21"/>
  <c r="AF136" i="16"/>
  <c r="N9" i="9"/>
  <c r="T9" i="9"/>
  <c r="AM9" i="9"/>
  <c r="AB65" i="23"/>
  <c r="AB13" i="23"/>
  <c r="AK18" i="9"/>
  <c r="AK18" i="8"/>
  <c r="AK11" i="8"/>
  <c r="AK11" i="9"/>
  <c r="AG26" i="8"/>
  <c r="AL47" i="9"/>
  <c r="AJ47" i="9"/>
  <c r="AB92" i="23"/>
  <c r="AB40" i="23"/>
  <c r="AC91" i="23"/>
  <c r="AC39" i="23"/>
  <c r="AF39" i="8"/>
  <c r="AP39" i="8"/>
  <c r="AM25" i="8"/>
  <c r="T25" i="8"/>
  <c r="N25" i="8"/>
  <c r="AM8" i="9"/>
  <c r="T8" i="9"/>
  <c r="N8" i="9"/>
  <c r="AG51" i="9"/>
  <c r="AE51" i="9"/>
  <c r="AO51" i="9"/>
  <c r="AM35" i="8"/>
  <c r="T35" i="8"/>
  <c r="N35" i="8"/>
  <c r="N132" i="21"/>
  <c r="K132" i="21"/>
  <c r="AL7" i="7"/>
  <c r="N54" i="21"/>
  <c r="K54" i="21"/>
  <c r="AG22" i="8"/>
  <c r="AE12" i="17"/>
  <c r="Z12" i="17"/>
  <c r="AE26" i="17"/>
  <c r="Z26" i="17"/>
  <c r="D11" i="25"/>
  <c r="X11" i="25"/>
  <c r="AE48" i="17"/>
  <c r="Z48" i="17"/>
  <c r="N18" i="21"/>
  <c r="K18" i="21"/>
  <c r="AJ7" i="21"/>
  <c r="V7" i="21"/>
  <c r="K2" i="21"/>
  <c r="N2" i="21"/>
  <c r="AO18" i="8"/>
  <c r="AE18" i="8"/>
  <c r="AB18" i="23"/>
  <c r="AB70" i="23"/>
  <c r="S15" i="25"/>
  <c r="S9" i="25"/>
  <c r="S14" i="25"/>
  <c r="AG89" i="23"/>
  <c r="AG37" i="23"/>
  <c r="Z139" i="16"/>
  <c r="AF139" i="16"/>
  <c r="AL21" i="9"/>
  <c r="AJ21" i="9"/>
  <c r="Y12" i="16"/>
  <c r="J12" i="21"/>
  <c r="M12" i="21"/>
  <c r="AO13" i="8"/>
  <c r="AE13" i="8"/>
  <c r="AG13" i="8"/>
  <c r="AE42" i="17"/>
  <c r="Z42" i="17"/>
  <c r="Z52" i="16"/>
  <c r="K52" i="21"/>
  <c r="N52" i="21"/>
  <c r="Z115" i="16"/>
  <c r="K115" i="21"/>
  <c r="N115" i="21"/>
  <c r="AF73" i="16"/>
  <c r="AF135" i="16"/>
  <c r="AF163" i="16"/>
  <c r="Z136" i="16"/>
  <c r="K136" i="21"/>
  <c r="N136" i="21"/>
  <c r="AP49" i="8"/>
  <c r="AF49" i="8"/>
  <c r="AC49" i="23"/>
  <c r="AC101" i="23"/>
  <c r="AO15" i="9"/>
  <c r="AE15" i="9"/>
  <c r="AG15" i="9"/>
  <c r="AK18" i="6"/>
  <c r="AK18" i="7"/>
  <c r="AG18" i="23"/>
  <c r="AG70" i="23"/>
  <c r="AK11" i="6"/>
  <c r="AK11" i="7"/>
  <c r="AG11" i="23"/>
  <c r="AG63" i="23"/>
  <c r="AO26" i="8"/>
  <c r="AE26" i="8"/>
  <c r="AB26" i="23"/>
  <c r="AB78" i="23"/>
  <c r="AL39" i="7"/>
  <c r="AF61" i="16"/>
  <c r="AG29" i="9"/>
  <c r="AE29" i="9"/>
  <c r="AO29" i="9"/>
  <c r="R30" i="28"/>
  <c r="AM49" i="7"/>
  <c r="U30" i="28"/>
  <c r="AF86" i="16"/>
  <c r="Z86" i="16"/>
  <c r="AG13" i="9"/>
  <c r="AO13" i="9"/>
  <c r="AE13" i="9"/>
  <c r="AM27" i="7"/>
  <c r="AJ7" i="7"/>
  <c r="AF7" i="23"/>
  <c r="AF59" i="23"/>
  <c r="AG9" i="9"/>
  <c r="T9" i="7"/>
  <c r="AO9" i="9"/>
  <c r="AE9" i="9"/>
  <c r="AO22" i="8"/>
  <c r="AE22" i="8"/>
  <c r="AB22" i="23"/>
  <c r="AB74" i="23"/>
  <c r="AL18" i="8"/>
  <c r="AJ18" i="8"/>
  <c r="Z132" i="16"/>
  <c r="AF132" i="16"/>
  <c r="AF60" i="23"/>
  <c r="AF8" i="23"/>
  <c r="N64" i="21"/>
  <c r="K64" i="21"/>
  <c r="AF64" i="23"/>
  <c r="AF12" i="23"/>
  <c r="I13" i="28"/>
  <c r="T13" i="7"/>
  <c r="AM13" i="7"/>
  <c r="F13" i="28"/>
  <c r="AL29" i="8"/>
  <c r="AJ29" i="8"/>
  <c r="AF71" i="23"/>
  <c r="AF19" i="23"/>
  <c r="R13" i="28"/>
  <c r="AM31" i="7"/>
  <c r="U13" i="28"/>
  <c r="AK37" i="9"/>
  <c r="AK37" i="6"/>
  <c r="AK37" i="7"/>
  <c r="AK37" i="8"/>
  <c r="AU3" i="16"/>
  <c r="AV3" i="16"/>
  <c r="Z144" i="16"/>
  <c r="AF144" i="16"/>
  <c r="AO51" i="8"/>
  <c r="AE51" i="8"/>
  <c r="AG51" i="8"/>
  <c r="AP12" i="9"/>
  <c r="AF12" i="9"/>
  <c r="K100" i="21"/>
  <c r="S10" i="21"/>
  <c r="Y10" i="21"/>
  <c r="AG10" i="21"/>
  <c r="N34" i="8"/>
  <c r="T34" i="8"/>
  <c r="AM34" i="8"/>
  <c r="Z73" i="16"/>
  <c r="K73" i="21"/>
  <c r="N73" i="21"/>
  <c r="Z135" i="16"/>
  <c r="K135" i="21"/>
  <c r="N135" i="21"/>
  <c r="Z163" i="16"/>
  <c r="K163" i="21"/>
  <c r="N163" i="21"/>
  <c r="AF85" i="23"/>
  <c r="AF33" i="23"/>
  <c r="AO55" i="9"/>
  <c r="AO53" i="9"/>
  <c r="AK51" i="9"/>
  <c r="AK51" i="6"/>
  <c r="AK51" i="7"/>
  <c r="AK51" i="8"/>
  <c r="Z164" i="16"/>
  <c r="AF164" i="16"/>
  <c r="AO8" i="8"/>
  <c r="AE8" i="8"/>
  <c r="AG8" i="8"/>
  <c r="N17" i="9"/>
  <c r="T17" i="9"/>
  <c r="AM17" i="9"/>
  <c r="AJ39" i="7"/>
  <c r="AF39" i="23"/>
  <c r="AF91" i="23"/>
  <c r="N117" i="21"/>
  <c r="K117" i="21"/>
  <c r="Z61" i="16"/>
  <c r="K61" i="21"/>
  <c r="N61" i="21"/>
  <c r="AJ50" i="7"/>
  <c r="AL50" i="7"/>
  <c r="X15" i="25"/>
  <c r="X9" i="25"/>
  <c r="X14" i="25"/>
  <c r="N48" i="9"/>
  <c r="T48" i="9"/>
  <c r="AM48" i="9"/>
  <c r="AO38" i="9"/>
  <c r="AE38" i="9"/>
  <c r="AG38" i="9"/>
  <c r="T27" i="7"/>
  <c r="AP27" i="9"/>
  <c r="AF27" i="9"/>
  <c r="AF87" i="23"/>
  <c r="AF35" i="23"/>
  <c r="AL49" i="9"/>
  <c r="AJ49" i="9"/>
  <c r="Z168" i="16"/>
  <c r="K168" i="21"/>
  <c r="N168" i="21"/>
  <c r="U5" i="28"/>
  <c r="AM17" i="7"/>
  <c r="R5" i="28"/>
  <c r="AL38" i="9"/>
  <c r="AJ38" i="9"/>
  <c r="AP51" i="8"/>
  <c r="AF51" i="8"/>
  <c r="AC51" i="23"/>
  <c r="AC103" i="23"/>
  <c r="N104" i="21"/>
  <c r="K104" i="21"/>
  <c r="N128" i="21"/>
  <c r="K128" i="21"/>
  <c r="N55" i="21"/>
  <c r="K55" i="21"/>
  <c r="N5" i="21"/>
  <c r="K5" i="21"/>
  <c r="AF38" i="9"/>
  <c r="T38" i="7"/>
  <c r="AP38" i="9"/>
  <c r="AB85" i="23"/>
  <c r="AB33" i="23"/>
  <c r="N14" i="9"/>
  <c r="T14" i="9"/>
  <c r="AM14" i="9"/>
  <c r="N80" i="21"/>
  <c r="K80" i="21"/>
  <c r="N14" i="23"/>
  <c r="N66" i="23"/>
  <c r="AO5" i="9"/>
  <c r="AE5" i="9"/>
  <c r="AG5" i="9"/>
  <c r="AE53" i="9"/>
  <c r="Y16" i="16"/>
  <c r="AE16" i="16"/>
  <c r="AP22" i="8"/>
  <c r="AF22" i="8"/>
  <c r="AC22" i="23"/>
  <c r="AC74" i="23"/>
  <c r="T40" i="7"/>
  <c r="AO40" i="8"/>
  <c r="AE40" i="8"/>
  <c r="AG40" i="8"/>
  <c r="Z54" i="16"/>
  <c r="AF54" i="16"/>
  <c r="AJ18" i="7"/>
  <c r="AL18" i="7"/>
  <c r="AP55" i="9"/>
  <c r="AP53" i="9"/>
  <c r="N21" i="8"/>
  <c r="T21" i="8"/>
  <c r="AM21" i="8"/>
  <c r="AL38" i="7"/>
  <c r="Z64" i="16"/>
  <c r="AF64" i="16"/>
  <c r="AE16" i="17"/>
  <c r="Z16" i="17"/>
  <c r="N39" i="9"/>
  <c r="T39" i="9"/>
  <c r="AM39" i="9"/>
  <c r="AG35" i="9"/>
  <c r="T35" i="7"/>
  <c r="AO35" i="9"/>
  <c r="AE35" i="9"/>
  <c r="AL30" i="8"/>
  <c r="AJ30" i="8"/>
  <c r="N59" i="23"/>
  <c r="N7" i="23"/>
  <c r="N33" i="21"/>
  <c r="K33" i="21"/>
  <c r="AM32" i="9"/>
  <c r="N32" i="9"/>
  <c r="T32" i="9"/>
  <c r="N34" i="21"/>
  <c r="K34" i="21"/>
  <c r="AF109" i="16"/>
  <c r="Z109" i="16"/>
  <c r="N131" i="21"/>
  <c r="K131" i="21"/>
  <c r="N123" i="21"/>
  <c r="K123" i="21"/>
  <c r="AM23" i="9"/>
  <c r="T23" i="9"/>
  <c r="N23" i="9"/>
  <c r="N79" i="23"/>
  <c r="N27" i="23"/>
  <c r="N75" i="23"/>
  <c r="N23" i="23"/>
  <c r="AF80" i="23"/>
  <c r="AF28" i="23"/>
  <c r="N53" i="9"/>
  <c r="AG85" i="23"/>
  <c r="AG33" i="23"/>
  <c r="AL8" i="7"/>
  <c r="AM49" i="9"/>
  <c r="T49" i="9"/>
  <c r="N49" i="9"/>
  <c r="AF142" i="16"/>
  <c r="AL21" i="7"/>
  <c r="N12" i="21"/>
  <c r="K12" i="21"/>
  <c r="AE23" i="17"/>
  <c r="Z23" i="17"/>
  <c r="AL15" i="9"/>
  <c r="AJ15" i="9"/>
  <c r="AF67" i="23"/>
  <c r="AF15" i="23"/>
  <c r="AG45" i="9"/>
  <c r="AE45" i="9"/>
  <c r="T45" i="7"/>
  <c r="AO45" i="9"/>
  <c r="N124" i="21"/>
  <c r="K124" i="21"/>
  <c r="AG65" i="23"/>
  <c r="AG13" i="23"/>
  <c r="M14" i="21"/>
  <c r="J14" i="21"/>
  <c r="AC78" i="23"/>
  <c r="AC26" i="23"/>
  <c r="AF26" i="8"/>
  <c r="AP26" i="8"/>
  <c r="AM29" i="9"/>
  <c r="T29" i="9"/>
  <c r="N29" i="9"/>
  <c r="N14" i="21"/>
  <c r="K14" i="21"/>
  <c r="N87" i="23"/>
  <c r="N35" i="6"/>
  <c r="N35" i="7"/>
  <c r="N35" i="23"/>
  <c r="AE46" i="16"/>
  <c r="AG47" i="8"/>
  <c r="AJ29" i="7"/>
  <c r="AL29" i="7"/>
  <c r="Z128" i="16"/>
  <c r="AF128" i="16"/>
  <c r="AF149" i="16"/>
  <c r="Z149" i="16"/>
  <c r="Z18" i="16"/>
  <c r="AF18" i="16"/>
  <c r="Z55" i="16"/>
  <c r="AF55" i="16"/>
  <c r="N111" i="21"/>
  <c r="K111" i="21"/>
  <c r="AO33" i="8"/>
  <c r="AE33" i="8"/>
  <c r="AG33" i="8"/>
  <c r="Z5" i="16"/>
  <c r="AF5" i="16"/>
  <c r="AJ13" i="7"/>
  <c r="AL13" i="7"/>
  <c r="AE32" i="17"/>
  <c r="Z32" i="17"/>
  <c r="AK44" i="9"/>
  <c r="AK44" i="6"/>
  <c r="AK44" i="7"/>
  <c r="AK44" i="8"/>
  <c r="AM43" i="9"/>
  <c r="T43" i="9"/>
  <c r="N43" i="9"/>
  <c r="AJ8" i="7"/>
  <c r="AJ8" i="8"/>
  <c r="AL8" i="8"/>
  <c r="T47" i="7"/>
  <c r="AO47" i="8"/>
  <c r="AE47" i="8"/>
  <c r="AB47" i="23"/>
  <c r="AB99" i="23"/>
  <c r="AF79" i="23"/>
  <c r="AF27" i="23"/>
  <c r="AL40" i="7"/>
  <c r="AJ21" i="7"/>
  <c r="AJ21" i="8"/>
  <c r="AL21" i="8"/>
  <c r="AM37" i="9"/>
  <c r="T37" i="9"/>
  <c r="N37" i="9"/>
  <c r="N88" i="21"/>
  <c r="K88" i="21"/>
  <c r="N84" i="21"/>
  <c r="K84" i="21"/>
  <c r="T15" i="7"/>
  <c r="AP15" i="8"/>
  <c r="AF15" i="8"/>
  <c r="AC15" i="23"/>
  <c r="AC67" i="23"/>
  <c r="N109" i="21"/>
  <c r="K109" i="21"/>
  <c r="AE31" i="17"/>
  <c r="Z31" i="17"/>
  <c r="AE22" i="17"/>
  <c r="Z22" i="17"/>
  <c r="N42" i="23"/>
  <c r="N94" i="23"/>
  <c r="AF94" i="23"/>
  <c r="AF42" i="23"/>
  <c r="N27" i="21"/>
  <c r="K27" i="21"/>
  <c r="AE21" i="16"/>
  <c r="AL17" i="7"/>
  <c r="AB96" i="23"/>
  <c r="AB44" i="23"/>
  <c r="AK8" i="8"/>
  <c r="AK8" i="9"/>
  <c r="AP44" i="8"/>
  <c r="AF44" i="8"/>
  <c r="AC44" i="23"/>
  <c r="AC96" i="23"/>
  <c r="N143" i="21"/>
  <c r="K143" i="21"/>
  <c r="AL19" i="7"/>
  <c r="AL46" i="7"/>
  <c r="N65" i="23"/>
  <c r="N13" i="23"/>
  <c r="AO55" i="8"/>
  <c r="AO53" i="8"/>
  <c r="N5" i="9"/>
  <c r="T5" i="9"/>
  <c r="AM5" i="9"/>
  <c r="T53" i="9"/>
  <c r="V11" i="25"/>
  <c r="AJ40" i="7"/>
  <c r="AJ40" i="9"/>
  <c r="AL40" i="9"/>
  <c r="N27" i="8"/>
  <c r="T27" i="8"/>
  <c r="AM27" i="8"/>
  <c r="N90" i="23"/>
  <c r="N38" i="23"/>
  <c r="AG26" i="9"/>
  <c r="AE26" i="9"/>
  <c r="N26" i="6"/>
  <c r="N26" i="7"/>
  <c r="T26" i="7"/>
  <c r="AO26" i="9"/>
  <c r="N92" i="23"/>
  <c r="N40" i="23"/>
  <c r="N56" i="21"/>
  <c r="K56" i="21"/>
  <c r="AL33" i="7"/>
  <c r="AF75" i="23"/>
  <c r="AF23" i="23"/>
  <c r="AG36" i="8"/>
  <c r="T53" i="7"/>
  <c r="AF15" i="16"/>
  <c r="Y21" i="16"/>
  <c r="J21" i="21"/>
  <c r="M21" i="21"/>
  <c r="N42" i="6"/>
  <c r="N42" i="7"/>
  <c r="N42" i="9"/>
  <c r="T42" i="9"/>
  <c r="AM42" i="9"/>
  <c r="AJ17" i="7"/>
  <c r="AJ17" i="8"/>
  <c r="AL17" i="8"/>
  <c r="AF80" i="16"/>
  <c r="Z80" i="16"/>
  <c r="N152" i="21"/>
  <c r="K152" i="21"/>
  <c r="N50" i="8"/>
  <c r="T50" i="8"/>
  <c r="AM50" i="8"/>
  <c r="AM5" i="8"/>
  <c r="T5" i="8"/>
  <c r="N5" i="8"/>
  <c r="T53" i="8"/>
  <c r="AO48" i="9"/>
  <c r="AE48" i="9"/>
  <c r="AG48" i="9"/>
  <c r="AJ19" i="7"/>
  <c r="AJ19" i="9"/>
  <c r="AL19" i="9"/>
  <c r="AE46" i="17"/>
  <c r="Z46" i="17"/>
  <c r="AG33" i="9"/>
  <c r="AE33" i="9"/>
  <c r="AO33" i="9"/>
  <c r="AG95" i="23"/>
  <c r="AG43" i="23"/>
  <c r="S13" i="25"/>
  <c r="S7" i="25"/>
  <c r="H6" i="28"/>
  <c r="E6" i="28"/>
  <c r="H8" i="28"/>
  <c r="E8" i="28"/>
  <c r="N3" i="21"/>
  <c r="K3" i="21"/>
  <c r="AK34" i="9"/>
  <c r="AK34" i="8"/>
  <c r="N10" i="8"/>
  <c r="T10" i="8"/>
  <c r="AM10" i="8"/>
  <c r="AJ37" i="7"/>
  <c r="AJ37" i="9"/>
  <c r="AL37" i="9"/>
  <c r="AJ38" i="7"/>
  <c r="AJ38" i="8"/>
  <c r="AL38" i="8"/>
  <c r="Z142" i="16"/>
  <c r="K142" i="21"/>
  <c r="N142" i="21"/>
  <c r="Z34" i="16"/>
  <c r="AF34" i="16"/>
  <c r="Z117" i="16"/>
  <c r="AF117" i="16"/>
  <c r="Z131" i="16"/>
  <c r="AF131" i="16"/>
  <c r="Z123" i="16"/>
  <c r="AF123" i="16"/>
  <c r="R23" i="28"/>
  <c r="AM39" i="7"/>
  <c r="U23" i="28"/>
  <c r="D14" i="25"/>
  <c r="N5" i="23"/>
  <c r="N57" i="23"/>
  <c r="D9" i="25"/>
  <c r="D15" i="25"/>
  <c r="Z27" i="16"/>
  <c r="AF27" i="16"/>
  <c r="N44" i="8"/>
  <c r="T44" i="8"/>
  <c r="AM44" i="8"/>
  <c r="R7" i="21"/>
  <c r="X7" i="21"/>
  <c r="AF7" i="21"/>
  <c r="AP24" i="8"/>
  <c r="AF24" i="8"/>
  <c r="AC24" i="23"/>
  <c r="AC76" i="23"/>
  <c r="L63" i="6"/>
  <c r="AK33" i="9"/>
  <c r="AK33" i="6"/>
  <c r="AK33" i="7"/>
  <c r="AK33" i="8"/>
  <c r="V14" i="25"/>
  <c r="AF5" i="23"/>
  <c r="AF57" i="23"/>
  <c r="V9" i="25"/>
  <c r="V15" i="25"/>
  <c r="AF105" i="16"/>
  <c r="Z105" i="16"/>
  <c r="AP48" i="9"/>
  <c r="AF48" i="9"/>
  <c r="N149" i="21"/>
  <c r="K149" i="21"/>
  <c r="Z33" i="16"/>
  <c r="AF33" i="16"/>
  <c r="AO43" i="9"/>
  <c r="AE43" i="9"/>
  <c r="AG43" i="9"/>
  <c r="AE47" i="17"/>
  <c r="Z47" i="17"/>
  <c r="AG102" i="23"/>
  <c r="AG50" i="23"/>
  <c r="AL23" i="9"/>
  <c r="AJ23" i="9"/>
  <c r="Y8" i="16"/>
  <c r="AE8" i="16"/>
  <c r="N29" i="8"/>
  <c r="T29" i="8"/>
  <c r="AM29" i="8"/>
  <c r="AJ33" i="7"/>
  <c r="AJ33" i="9"/>
  <c r="AL33" i="9"/>
  <c r="AF152" i="16"/>
  <c r="Z152" i="16"/>
  <c r="N31" i="23"/>
  <c r="N83" i="23"/>
  <c r="T36" i="7"/>
  <c r="AO36" i="8"/>
  <c r="AE36" i="8"/>
  <c r="AB36" i="23"/>
  <c r="AB88" i="23"/>
  <c r="AP5" i="9"/>
  <c r="AF5" i="9"/>
  <c r="Z15" i="16"/>
  <c r="K15" i="21"/>
  <c r="N15" i="21"/>
  <c r="N74" i="21"/>
  <c r="K74" i="21"/>
  <c r="AE37" i="17"/>
  <c r="Z37" i="17"/>
  <c r="Z124" i="16"/>
  <c r="AF124" i="16"/>
  <c r="N47" i="6"/>
  <c r="N47" i="7"/>
  <c r="N47" i="8"/>
  <c r="T47" i="8"/>
  <c r="AM47" i="8"/>
  <c r="AK13" i="9"/>
  <c r="AK13" i="6"/>
  <c r="AK13" i="7"/>
  <c r="AK13" i="8"/>
  <c r="Y14" i="16"/>
  <c r="AE14" i="16"/>
  <c r="AG14" i="8"/>
  <c r="Z14" i="16"/>
  <c r="AF14" i="16"/>
  <c r="AF102" i="16"/>
  <c r="Z102" i="16"/>
  <c r="AB100" i="23"/>
  <c r="AB48" i="23"/>
  <c r="AE22" i="16"/>
  <c r="AE24" i="16"/>
  <c r="AL12" i="9"/>
  <c r="AJ12" i="9"/>
  <c r="AE44" i="16"/>
  <c r="AO44" i="8"/>
  <c r="AE44" i="8"/>
  <c r="AG44" i="8"/>
  <c r="M7" i="21"/>
  <c r="J7" i="21"/>
  <c r="AK8" i="6"/>
  <c r="AK8" i="7"/>
  <c r="AG8" i="23"/>
  <c r="AG60" i="23"/>
  <c r="AP14" i="8"/>
  <c r="AF14" i="8"/>
  <c r="AC14" i="23"/>
  <c r="AC66" i="23"/>
  <c r="AO14" i="8"/>
  <c r="AE14" i="8"/>
  <c r="AB14" i="23"/>
  <c r="AB66" i="23"/>
  <c r="M19" i="21"/>
  <c r="J19" i="21"/>
  <c r="N53" i="8"/>
  <c r="AF91" i="16"/>
  <c r="Z91" i="16"/>
  <c r="Z143" i="16"/>
  <c r="AF143" i="16"/>
  <c r="AL35" i="7"/>
  <c r="AF99" i="23"/>
  <c r="AF47" i="23"/>
  <c r="AG71" i="23"/>
  <c r="AG19" i="23"/>
  <c r="AV2" i="16"/>
  <c r="AE3" i="16"/>
  <c r="AL10" i="7"/>
  <c r="AG53" i="8"/>
  <c r="N37" i="21"/>
  <c r="K37" i="21"/>
  <c r="Y19" i="16"/>
  <c r="AE19" i="16"/>
  <c r="N19" i="21"/>
  <c r="K19" i="21"/>
  <c r="AL14" i="9"/>
  <c r="AJ14" i="9"/>
  <c r="N65" i="6"/>
  <c r="N83" i="21"/>
  <c r="K83" i="21"/>
  <c r="N57" i="21"/>
  <c r="K57" i="21"/>
  <c r="AC85" i="23"/>
  <c r="AP33" i="8"/>
  <c r="AF33" i="8"/>
  <c r="AC33" i="23"/>
  <c r="AC60" i="23"/>
  <c r="AP8" i="8"/>
  <c r="AF8" i="8"/>
  <c r="AC8" i="23"/>
  <c r="AM7" i="8"/>
  <c r="T7" i="8"/>
  <c r="N7" i="8"/>
  <c r="AL28" i="9"/>
  <c r="AJ28" i="9"/>
  <c r="AL49" i="7"/>
  <c r="N133" i="21"/>
  <c r="K133" i="21"/>
  <c r="AF24" i="9"/>
  <c r="AP24" i="9"/>
  <c r="AE34" i="17"/>
  <c r="Z34" i="17"/>
  <c r="AF22" i="9"/>
  <c r="AP22" i="9"/>
  <c r="AE51" i="17"/>
  <c r="Z51" i="17"/>
  <c r="N96" i="23"/>
  <c r="N44" i="23"/>
  <c r="AE14" i="17"/>
  <c r="Z14" i="17"/>
  <c r="AF75" i="16"/>
  <c r="Z75" i="16"/>
  <c r="I11" i="28"/>
  <c r="F11" i="28"/>
  <c r="U9" i="28"/>
  <c r="R9" i="28"/>
  <c r="AF90" i="16"/>
  <c r="Z90" i="16"/>
  <c r="AE11" i="17"/>
  <c r="Z11" i="17"/>
  <c r="AE40" i="17"/>
  <c r="Z40" i="17"/>
  <c r="AJ35" i="6"/>
  <c r="AJ35" i="7"/>
  <c r="AJ35" i="9"/>
  <c r="AL35" i="9"/>
  <c r="AO48" i="8"/>
  <c r="AE48" i="8"/>
  <c r="AG48" i="8"/>
  <c r="AK53" i="8"/>
  <c r="AE2" i="16"/>
  <c r="AU2" i="16"/>
  <c r="AU7" i="16"/>
  <c r="AV7" i="16"/>
  <c r="Y3" i="16"/>
  <c r="J3" i="21"/>
  <c r="M3" i="21"/>
  <c r="AJ10" i="7"/>
  <c r="AJ10" i="8"/>
  <c r="AL10" i="8"/>
  <c r="N19" i="6"/>
  <c r="N19" i="7"/>
  <c r="T19" i="7"/>
  <c r="AP19" i="9"/>
  <c r="AF19" i="9"/>
  <c r="T17" i="7"/>
  <c r="AP17" i="8"/>
  <c r="AF17" i="8"/>
  <c r="AC17" i="23"/>
  <c r="AC69" i="23"/>
  <c r="AK43" i="8"/>
  <c r="AK43" i="6"/>
  <c r="AK43" i="7"/>
  <c r="AK43" i="9"/>
  <c r="Y7" i="16"/>
  <c r="AE7" i="16"/>
  <c r="AP5" i="8"/>
  <c r="AF5" i="8"/>
  <c r="AC5" i="23"/>
  <c r="AC57" i="23"/>
  <c r="S11" i="25"/>
  <c r="AJ25" i="6"/>
  <c r="N25" i="6"/>
  <c r="N25" i="7"/>
  <c r="N25" i="9"/>
  <c r="T25" i="9"/>
  <c r="AM25" i="9"/>
  <c r="N78" i="21"/>
  <c r="K78" i="21"/>
  <c r="AE27" i="17"/>
  <c r="Z27" i="17"/>
  <c r="Z57" i="16"/>
  <c r="AF57" i="16"/>
  <c r="Y2" i="16"/>
  <c r="J2" i="21"/>
  <c r="M2" i="21"/>
  <c r="U7" i="21"/>
  <c r="AI7" i="21"/>
  <c r="N77" i="21"/>
  <c r="K77" i="21"/>
  <c r="AJ49" i="7"/>
  <c r="AF49" i="23"/>
  <c r="AF101" i="23"/>
  <c r="AL23" i="7"/>
  <c r="N81" i="21"/>
  <c r="K81" i="21"/>
  <c r="AJ5" i="7"/>
  <c r="AL5" i="7"/>
  <c r="AC84" i="23"/>
  <c r="AC32" i="23"/>
  <c r="N32" i="6"/>
  <c r="N32" i="7"/>
  <c r="T32" i="7"/>
  <c r="AP32" i="8"/>
  <c r="AF32" i="8"/>
  <c r="AM45" i="8"/>
  <c r="T45" i="8"/>
  <c r="N45" i="8"/>
  <c r="AF34" i="9"/>
  <c r="AP34" i="9"/>
  <c r="AF92" i="16"/>
  <c r="Z92" i="16"/>
  <c r="AL3" i="16"/>
  <c r="AG50" i="9"/>
  <c r="AE50" i="9"/>
  <c r="AO50" i="9"/>
  <c r="AB62" i="23"/>
  <c r="AB10" i="23"/>
  <c r="N94" i="21"/>
  <c r="K94" i="21"/>
  <c r="N74" i="23"/>
  <c r="N22" i="23"/>
  <c r="AL44" i="8"/>
  <c r="AJ44" i="8"/>
  <c r="Z12" i="16"/>
  <c r="AF12" i="16"/>
  <c r="N14" i="6"/>
  <c r="N14" i="7"/>
  <c r="T14" i="7"/>
  <c r="AP14" i="9"/>
  <c r="AF14" i="9"/>
  <c r="N15" i="7"/>
  <c r="N15" i="23"/>
  <c r="N67" i="23"/>
  <c r="AF106" i="16"/>
  <c r="Z106" i="16"/>
  <c r="N93" i="21"/>
  <c r="K93" i="21"/>
  <c r="AJ23" i="7"/>
  <c r="AJ23" i="8"/>
  <c r="AL23" i="8"/>
  <c r="AJ53" i="7"/>
  <c r="AJ58" i="7"/>
  <c r="N79" i="21"/>
  <c r="K79" i="21"/>
  <c r="AG31" i="9"/>
  <c r="AE31" i="9"/>
  <c r="AO31" i="9"/>
  <c r="AE6" i="17"/>
  <c r="Z6" i="17"/>
  <c r="AF61" i="23"/>
  <c r="AF9" i="23"/>
  <c r="AB9" i="21"/>
  <c r="AO10" i="8"/>
  <c r="AE10" i="8"/>
  <c r="AG10" i="8"/>
  <c r="AJ9" i="21"/>
  <c r="K62" i="21"/>
  <c r="N62" i="21"/>
  <c r="V9" i="21"/>
  <c r="AE9" i="21"/>
  <c r="Z2" i="17"/>
  <c r="AE2" i="17"/>
  <c r="AF101" i="16"/>
  <c r="Z101" i="16"/>
  <c r="N154" i="21"/>
  <c r="K154" i="21"/>
  <c r="AF114" i="16"/>
  <c r="AL8" i="16"/>
  <c r="Y46" i="16"/>
  <c r="J46" i="21"/>
  <c r="M46" i="21"/>
  <c r="N150" i="21"/>
  <c r="K150" i="21"/>
  <c r="AJ47" i="6"/>
  <c r="AJ47" i="7"/>
  <c r="AL47" i="7"/>
  <c r="AK19" i="9"/>
  <c r="AJ19" i="6"/>
  <c r="AK19" i="6"/>
  <c r="AK19" i="7"/>
  <c r="AK19" i="8"/>
  <c r="N97" i="23"/>
  <c r="N45" i="23"/>
  <c r="AF100" i="23"/>
  <c r="AF48" i="23"/>
  <c r="AL34" i="8"/>
  <c r="AJ34" i="8"/>
  <c r="Y22" i="16"/>
  <c r="J22" i="21"/>
  <c r="M22" i="21"/>
  <c r="AJ46" i="6"/>
  <c r="AJ46" i="7"/>
  <c r="AJ46" i="9"/>
  <c r="AL46" i="9"/>
  <c r="Z37" i="16"/>
  <c r="AF37" i="16"/>
  <c r="Y24" i="16"/>
  <c r="J24" i="21"/>
  <c r="M24" i="21"/>
  <c r="AP7" i="8"/>
  <c r="AF7" i="8"/>
  <c r="AC7" i="23"/>
  <c r="AC59" i="23"/>
  <c r="AP34" i="8"/>
  <c r="AF34" i="8"/>
  <c r="AC34" i="23"/>
  <c r="AC86" i="23"/>
  <c r="Z19" i="16"/>
  <c r="AF19" i="16"/>
  <c r="AO22" i="9"/>
  <c r="AE22" i="9"/>
  <c r="AG22" i="9"/>
  <c r="AJ14" i="7"/>
  <c r="AL14" i="7"/>
  <c r="N165" i="21"/>
  <c r="K165" i="21"/>
  <c r="N92" i="21"/>
  <c r="K92" i="21"/>
  <c r="AF76" i="23"/>
  <c r="AF24" i="23"/>
  <c r="AO34" i="9"/>
  <c r="AE34" i="9"/>
  <c r="AG34" i="9"/>
  <c r="AK34" i="6"/>
  <c r="AK34" i="7"/>
  <c r="AG34" i="23"/>
  <c r="AG86" i="23"/>
  <c r="AJ28" i="7"/>
  <c r="AL28" i="7"/>
  <c r="N33" i="8"/>
  <c r="T33" i="8"/>
  <c r="AM33" i="8"/>
  <c r="AF50" i="9"/>
  <c r="AP50" i="9"/>
  <c r="Y44" i="16"/>
  <c r="J44" i="21"/>
  <c r="M44" i="21"/>
  <c r="AB58" i="23"/>
  <c r="AB6" i="23"/>
  <c r="N40" i="8"/>
  <c r="T40" i="8"/>
  <c r="AM40" i="8"/>
  <c r="N106" i="21"/>
  <c r="K106" i="21"/>
  <c r="N45" i="6"/>
  <c r="N45" i="7"/>
  <c r="L68" i="6"/>
  <c r="AB86" i="23"/>
  <c r="AB34" i="23"/>
  <c r="AF62" i="16"/>
  <c r="AK3" i="16"/>
  <c r="AK8" i="16"/>
  <c r="AK9" i="16"/>
  <c r="AL9" i="16"/>
  <c r="AO23" i="9"/>
  <c r="AE23" i="9"/>
  <c r="AG23" i="9"/>
  <c r="N16" i="8"/>
  <c r="T16" i="8"/>
  <c r="AM16" i="8"/>
  <c r="AG59" i="23"/>
  <c r="AG7" i="23"/>
  <c r="AV4" i="16"/>
  <c r="AU4" i="16"/>
  <c r="Z100" i="16"/>
  <c r="AF100" i="16"/>
  <c r="AB10" i="21"/>
  <c r="AG30" i="9"/>
  <c r="AE30" i="9"/>
  <c r="AO30" i="9"/>
  <c r="U11" i="28"/>
  <c r="R11" i="28"/>
  <c r="AG7" i="9"/>
  <c r="AE7" i="9"/>
  <c r="AO7" i="9"/>
  <c r="AL11" i="9"/>
  <c r="AJ11" i="9"/>
  <c r="AF86" i="23"/>
  <c r="AF34" i="23"/>
  <c r="AL44" i="7"/>
  <c r="AG41" i="9"/>
  <c r="AE41" i="9"/>
  <c r="AO41" i="9"/>
  <c r="AG76" i="23"/>
  <c r="AG24" i="23"/>
  <c r="AB73" i="23"/>
  <c r="AB21" i="23"/>
  <c r="AL42" i="9"/>
  <c r="AJ42" i="9"/>
  <c r="AF130" i="16"/>
  <c r="AE18" i="16"/>
  <c r="AK27" i="8"/>
  <c r="AK27" i="9"/>
  <c r="AL36" i="8"/>
  <c r="AJ36" i="8"/>
  <c r="N169" i="21"/>
  <c r="K169" i="21"/>
  <c r="N157" i="21"/>
  <c r="K157" i="21"/>
  <c r="M39" i="21"/>
  <c r="J39" i="21"/>
  <c r="AL48" i="7"/>
  <c r="AL51" i="7"/>
  <c r="AK30" i="8"/>
  <c r="AK30" i="9"/>
  <c r="AM9" i="8"/>
  <c r="T9" i="8"/>
  <c r="N9" i="8"/>
  <c r="AF39" i="9"/>
  <c r="AJ39" i="6"/>
  <c r="N39" i="6"/>
  <c r="N39" i="7"/>
  <c r="T39" i="7"/>
  <c r="AP39" i="9"/>
  <c r="AL15" i="7"/>
  <c r="AF125" i="16"/>
  <c r="AL31" i="8"/>
  <c r="AJ31" i="8"/>
  <c r="N13" i="21"/>
  <c r="K13" i="21"/>
  <c r="D49" i="5"/>
  <c r="D48" i="5"/>
  <c r="M47" i="21"/>
  <c r="J47" i="21"/>
  <c r="AF31" i="16"/>
  <c r="AE50" i="17"/>
  <c r="Z50" i="17"/>
  <c r="AF98" i="16"/>
  <c r="AM23" i="7"/>
  <c r="Z98" i="16"/>
  <c r="AG23" i="8"/>
  <c r="AF122" i="16"/>
  <c r="AL43" i="7"/>
  <c r="AF155" i="16"/>
  <c r="Z155" i="16"/>
  <c r="N70" i="23"/>
  <c r="N18" i="23"/>
  <c r="Z2" i="16"/>
  <c r="AF2" i="16"/>
  <c r="AB7" i="21"/>
  <c r="AM21" i="7"/>
  <c r="Z81" i="16"/>
  <c r="AF81" i="16"/>
  <c r="H5" i="28"/>
  <c r="H7" i="28"/>
  <c r="E7" i="28"/>
  <c r="E5" i="28"/>
  <c r="AF51" i="23"/>
  <c r="AF103" i="23"/>
  <c r="AF59" i="16"/>
  <c r="AE25" i="17"/>
  <c r="Z25" i="17"/>
  <c r="AJ18" i="6"/>
  <c r="N18" i="6"/>
  <c r="N18" i="7"/>
  <c r="T18" i="7"/>
  <c r="AP18" i="9"/>
  <c r="AF18" i="9"/>
  <c r="I10" i="28"/>
  <c r="F10" i="28"/>
  <c r="AM29" i="7"/>
  <c r="AJ44" i="7"/>
  <c r="AF44" i="23"/>
  <c r="AF96" i="23"/>
  <c r="N10" i="9"/>
  <c r="T10" i="9"/>
  <c r="AM10" i="9"/>
  <c r="AM43" i="7"/>
  <c r="AK15" i="8"/>
  <c r="AK15" i="9"/>
  <c r="Z133" i="16"/>
  <c r="AF133" i="16"/>
  <c r="Y18" i="16"/>
  <c r="J18" i="21"/>
  <c r="M18" i="21"/>
  <c r="N88" i="23"/>
  <c r="N36" i="23"/>
  <c r="N17" i="8"/>
  <c r="T17" i="8"/>
  <c r="AM17" i="8"/>
  <c r="AK27" i="6"/>
  <c r="AK27" i="7"/>
  <c r="AG27" i="23"/>
  <c r="AG79" i="23"/>
  <c r="AG75" i="23"/>
  <c r="AG23" i="23"/>
  <c r="AM40" i="9"/>
  <c r="T40" i="9"/>
  <c r="AJ40" i="6"/>
  <c r="N40" i="6"/>
  <c r="N40" i="7"/>
  <c r="N40" i="9"/>
  <c r="AE48" i="16"/>
  <c r="AJ48" i="7"/>
  <c r="AJ48" i="9"/>
  <c r="AL48" i="9"/>
  <c r="N28" i="23"/>
  <c r="N80" i="23"/>
  <c r="AF88" i="23"/>
  <c r="AF36" i="23"/>
  <c r="AJ51" i="7"/>
  <c r="AJ51" i="9"/>
  <c r="AL51" i="9"/>
  <c r="AK30" i="6"/>
  <c r="AK30" i="7"/>
  <c r="AG30" i="23"/>
  <c r="AG82" i="23"/>
  <c r="N29" i="23"/>
  <c r="N81" i="23"/>
  <c r="AJ15" i="7"/>
  <c r="AJ15" i="8"/>
  <c r="AL15" i="8"/>
  <c r="Z125" i="16"/>
  <c r="K125" i="21"/>
  <c r="N125" i="21"/>
  <c r="AP37" i="8"/>
  <c r="AF37" i="8"/>
  <c r="AC37" i="23"/>
  <c r="AC89" i="23"/>
  <c r="N43" i="23"/>
  <c r="N95" i="23"/>
  <c r="N69" i="23"/>
  <c r="N17" i="23"/>
  <c r="N98" i="21"/>
  <c r="K98" i="21"/>
  <c r="N16" i="7"/>
  <c r="N16" i="23"/>
  <c r="N68" i="23"/>
  <c r="N31" i="6"/>
  <c r="N31" i="7"/>
  <c r="T31" i="7"/>
  <c r="AP31" i="9"/>
  <c r="AF31" i="9"/>
  <c r="Z169" i="16"/>
  <c r="AF169" i="16"/>
  <c r="AL24" i="9"/>
  <c r="AJ24" i="9"/>
  <c r="Z31" i="16"/>
  <c r="K31" i="21"/>
  <c r="N31" i="21"/>
  <c r="Y48" i="16"/>
  <c r="J48" i="21"/>
  <c r="M48" i="21"/>
  <c r="N23" i="6"/>
  <c r="N23" i="7"/>
  <c r="T23" i="7"/>
  <c r="AO23" i="8"/>
  <c r="AE23" i="8"/>
  <c r="AB23" i="23"/>
  <c r="AB75" i="23"/>
  <c r="AC58" i="23"/>
  <c r="AC6" i="23"/>
  <c r="AP6" i="8"/>
  <c r="AF6" i="8"/>
  <c r="Z122" i="16"/>
  <c r="K122" i="21"/>
  <c r="N122" i="21"/>
  <c r="AP11" i="9"/>
  <c r="AF11" i="9"/>
  <c r="AJ43" i="7"/>
  <c r="AJ43" i="9"/>
  <c r="AL43" i="9"/>
  <c r="N53" i="21"/>
  <c r="K53" i="21"/>
  <c r="N16" i="21"/>
  <c r="K16" i="21"/>
  <c r="N34" i="9"/>
  <c r="T34" i="9"/>
  <c r="AM34" i="9"/>
  <c r="Z56" i="16"/>
  <c r="AF56" i="16"/>
  <c r="AL30" i="7"/>
  <c r="L69" i="6"/>
  <c r="AP28" i="8"/>
  <c r="AF28" i="8"/>
  <c r="AC28" i="23"/>
  <c r="AC80" i="23"/>
  <c r="Z59" i="16"/>
  <c r="K59" i="21"/>
  <c r="N59" i="21"/>
  <c r="N86" i="21"/>
  <c r="K86" i="21"/>
  <c r="AL12" i="7"/>
  <c r="N25" i="21"/>
  <c r="K25" i="21"/>
  <c r="N87" i="21"/>
  <c r="K87" i="21"/>
  <c r="AC81" i="23"/>
  <c r="AJ29" i="6"/>
  <c r="N29" i="6"/>
  <c r="N29" i="7"/>
  <c r="T29" i="7"/>
  <c r="AP29" i="8"/>
  <c r="AF29" i="8"/>
  <c r="AC29" i="23"/>
  <c r="AL27" i="7"/>
  <c r="N41" i="6"/>
  <c r="N41" i="7"/>
  <c r="T41" i="7"/>
  <c r="AM41" i="7"/>
  <c r="AK50" i="9"/>
  <c r="AK50" i="6"/>
  <c r="AK50" i="7"/>
  <c r="AK50" i="8"/>
  <c r="Z16" i="16"/>
  <c r="AF16" i="16"/>
  <c r="N24" i="9"/>
  <c r="T24" i="9"/>
  <c r="AM24" i="9"/>
  <c r="AJ49" i="6"/>
  <c r="N49" i="6"/>
  <c r="N49" i="7"/>
  <c r="T49" i="7"/>
  <c r="AP49" i="9"/>
  <c r="AF49" i="9"/>
  <c r="AJ43" i="6"/>
  <c r="N43" i="6"/>
  <c r="N43" i="7"/>
  <c r="T43" i="7"/>
  <c r="AP43" i="9"/>
  <c r="AF43" i="9"/>
  <c r="AK55" i="6"/>
  <c r="AK60" i="6"/>
  <c r="AK15" i="7"/>
  <c r="AG15" i="23"/>
  <c r="AG67" i="23"/>
  <c r="AE10" i="16"/>
  <c r="AO6" i="8"/>
  <c r="AE6" i="8"/>
  <c r="AG6" i="8"/>
  <c r="AF35" i="16"/>
  <c r="AL6" i="7"/>
  <c r="N11" i="9"/>
  <c r="T11" i="9"/>
  <c r="AM11" i="9"/>
  <c r="U33" i="28"/>
  <c r="R33" i="28"/>
  <c r="E9" i="28"/>
  <c r="H12" i="28"/>
  <c r="H9" i="28"/>
  <c r="E12" i="28"/>
  <c r="AL16" i="7"/>
  <c r="N91" i="21"/>
  <c r="K91" i="21"/>
  <c r="Z62" i="16"/>
  <c r="K103" i="21"/>
  <c r="N103" i="21"/>
  <c r="AL32" i="7"/>
  <c r="T37" i="7"/>
  <c r="AM37" i="7"/>
  <c r="AL24" i="7"/>
  <c r="R16" i="28"/>
  <c r="R26" i="28"/>
  <c r="U26" i="28"/>
  <c r="U21" i="28"/>
  <c r="U16" i="28"/>
  <c r="R21" i="28"/>
  <c r="AL9" i="7"/>
  <c r="N50" i="9"/>
  <c r="T50" i="9"/>
  <c r="AM50" i="9"/>
  <c r="N97" i="21"/>
  <c r="K97" i="21"/>
  <c r="N27" i="6"/>
  <c r="N27" i="7"/>
  <c r="N27" i="9"/>
  <c r="T27" i="9"/>
  <c r="AM27" i="9"/>
  <c r="AE17" i="16"/>
  <c r="AL41" i="7"/>
  <c r="AJ13" i="6"/>
  <c r="N13" i="6"/>
  <c r="N13" i="7"/>
  <c r="N13" i="8"/>
  <c r="T13" i="8"/>
  <c r="AM13" i="8"/>
  <c r="N9" i="7"/>
  <c r="N9" i="23"/>
  <c r="N61" i="23"/>
  <c r="AF11" i="16"/>
  <c r="AL26" i="7"/>
  <c r="N7" i="9"/>
  <c r="T7" i="9"/>
  <c r="AM7" i="9"/>
  <c r="AF157" i="16"/>
  <c r="Z157" i="16"/>
  <c r="AM44" i="7"/>
  <c r="AM12" i="8"/>
  <c r="N12" i="8"/>
  <c r="T12" i="8"/>
  <c r="AL45" i="7"/>
  <c r="AF113" i="16"/>
  <c r="AF99" i="16"/>
  <c r="AK26" i="8"/>
  <c r="AK26" i="9"/>
  <c r="AJ37" i="6"/>
  <c r="N37" i="6"/>
  <c r="N37" i="7"/>
  <c r="N37" i="8"/>
  <c r="T37" i="8"/>
  <c r="AM37" i="8"/>
  <c r="AG66" i="23"/>
  <c r="AG14" i="23"/>
  <c r="AP21" i="8"/>
  <c r="AF21" i="8"/>
  <c r="AC21" i="23"/>
  <c r="AC73" i="23"/>
  <c r="AF70" i="16"/>
  <c r="AJ38" i="6"/>
  <c r="N38" i="6"/>
  <c r="N38" i="7"/>
  <c r="N38" i="8"/>
  <c r="T38" i="8"/>
  <c r="AM38" i="8"/>
  <c r="Z114" i="16"/>
  <c r="K114" i="21"/>
  <c r="N114" i="21"/>
  <c r="AK7" i="9"/>
  <c r="AK7" i="6"/>
  <c r="AK7" i="7"/>
  <c r="AK7" i="8"/>
  <c r="AL36" i="9"/>
  <c r="AJ36" i="9"/>
  <c r="T51" i="7"/>
  <c r="AM51" i="7"/>
  <c r="Z165" i="16"/>
  <c r="AF165" i="16"/>
  <c r="AJ8" i="6"/>
  <c r="N8" i="6"/>
  <c r="N8" i="7"/>
  <c r="T8" i="7"/>
  <c r="AO8" i="9"/>
  <c r="AE8" i="9"/>
  <c r="AG8" i="9"/>
  <c r="AJ30" i="7"/>
  <c r="AJ30" i="9"/>
  <c r="AL30" i="9"/>
  <c r="Z130" i="16"/>
  <c r="K130" i="21"/>
  <c r="N130" i="21"/>
  <c r="AJ30" i="6"/>
  <c r="N30" i="6"/>
  <c r="N30" i="7"/>
  <c r="T30" i="7"/>
  <c r="AP30" i="9"/>
  <c r="AF30" i="9"/>
  <c r="N50" i="23"/>
  <c r="N102" i="23"/>
  <c r="AJ28" i="6"/>
  <c r="N28" i="6"/>
  <c r="N28" i="7"/>
  <c r="T28" i="7"/>
  <c r="AM28" i="7"/>
  <c r="AJ11" i="7"/>
  <c r="AL11" i="7"/>
  <c r="AJ34" i="7"/>
  <c r="AL34" i="7"/>
  <c r="AJ34" i="6"/>
  <c r="N34" i="6"/>
  <c r="N34" i="7"/>
  <c r="T34" i="7"/>
  <c r="AO34" i="8"/>
  <c r="AE34" i="8"/>
  <c r="AG34" i="8"/>
  <c r="AJ12" i="7"/>
  <c r="AJ12" i="8"/>
  <c r="AL12" i="8"/>
  <c r="N51" i="21"/>
  <c r="K51" i="21"/>
  <c r="AJ27" i="6"/>
  <c r="AJ27" i="7"/>
  <c r="AJ27" i="8"/>
  <c r="AL27" i="8"/>
  <c r="I5" i="28"/>
  <c r="F5" i="28"/>
  <c r="I6" i="28"/>
  <c r="F6" i="28"/>
  <c r="AK24" i="9"/>
  <c r="AK24" i="6"/>
  <c r="AK24" i="7"/>
  <c r="AK24" i="8"/>
  <c r="AJ21" i="6"/>
  <c r="N21" i="6"/>
  <c r="N21" i="7"/>
  <c r="T21" i="7"/>
  <c r="AO21" i="8"/>
  <c r="AE21" i="8"/>
  <c r="AG21" i="8"/>
  <c r="AJ42" i="6"/>
  <c r="AJ42" i="7"/>
  <c r="AL42" i="7"/>
  <c r="Z3" i="16"/>
  <c r="AF3" i="16"/>
  <c r="AM6" i="7"/>
  <c r="Y10" i="16"/>
  <c r="J10" i="21"/>
  <c r="M10" i="21"/>
  <c r="Z95" i="16"/>
  <c r="AF95" i="16"/>
  <c r="AJ12" i="6"/>
  <c r="N12" i="6"/>
  <c r="N12" i="7"/>
  <c r="T12" i="7"/>
  <c r="AM12" i="7"/>
  <c r="Z35" i="16"/>
  <c r="K35" i="21"/>
  <c r="N35" i="21"/>
  <c r="AJ6" i="7"/>
  <c r="AJ6" i="8"/>
  <c r="AL6" i="8"/>
  <c r="AJ36" i="7"/>
  <c r="AL36" i="7"/>
  <c r="AF147" i="16"/>
  <c r="Z25" i="16"/>
  <c r="AF25" i="16"/>
  <c r="Z51" i="16"/>
  <c r="AF51" i="16"/>
  <c r="K89" i="21"/>
  <c r="N89" i="21"/>
  <c r="Z36" i="17"/>
  <c r="AE36" i="17"/>
  <c r="AJ16" i="7"/>
  <c r="AJ16" i="8"/>
  <c r="AL16" i="8"/>
  <c r="AJ11" i="6"/>
  <c r="N11" i="6"/>
  <c r="N11" i="7"/>
  <c r="T11" i="7"/>
  <c r="AM11" i="7"/>
  <c r="Z53" i="16"/>
  <c r="AF53" i="16"/>
  <c r="AL53" i="7"/>
  <c r="AJ32" i="8"/>
  <c r="AL32" i="8"/>
  <c r="Z103" i="16"/>
  <c r="AF103" i="16"/>
  <c r="AJ50" i="6"/>
  <c r="N50" i="6"/>
  <c r="N50" i="7"/>
  <c r="T50" i="7"/>
  <c r="AP50" i="8"/>
  <c r="AF50" i="8"/>
  <c r="AC50" i="23"/>
  <c r="AC102" i="23"/>
  <c r="N22" i="9"/>
  <c r="T22" i="9"/>
  <c r="AM22" i="9"/>
  <c r="AJ32" i="6"/>
  <c r="AJ32" i="7"/>
  <c r="AF32" i="23"/>
  <c r="AF84" i="23"/>
  <c r="AJ24" i="7"/>
  <c r="AJ24" i="8"/>
  <c r="AL24" i="8"/>
  <c r="AJ33" i="6"/>
  <c r="N33" i="6"/>
  <c r="N33" i="7"/>
  <c r="T33" i="7"/>
  <c r="AM33" i="7"/>
  <c r="Z35" i="17"/>
  <c r="AE35" i="17"/>
  <c r="AJ55" i="6"/>
  <c r="AJ60" i="6"/>
  <c r="AJ9" i="7"/>
  <c r="AJ9" i="8"/>
  <c r="AL9" i="8"/>
  <c r="AJ22" i="6"/>
  <c r="N22" i="6"/>
  <c r="N22" i="7"/>
  <c r="T22" i="7"/>
  <c r="AM22" i="7"/>
  <c r="Z18" i="17"/>
  <c r="AE18" i="17"/>
  <c r="Z147" i="16"/>
  <c r="K153" i="21"/>
  <c r="N153" i="21"/>
  <c r="AJ31" i="6"/>
  <c r="AJ31" i="7"/>
  <c r="AL31" i="7"/>
  <c r="Z13" i="16"/>
  <c r="AF13" i="16"/>
  <c r="AJ36" i="6"/>
  <c r="N36" i="6"/>
  <c r="N36" i="7"/>
  <c r="N36" i="9"/>
  <c r="T36" i="9"/>
  <c r="AM36" i="9"/>
  <c r="AK23" i="9"/>
  <c r="AJ23" i="6"/>
  <c r="AK23" i="6"/>
  <c r="AK23" i="7"/>
  <c r="AK23" i="8"/>
  <c r="AE58" i="7"/>
  <c r="AM53" i="7"/>
  <c r="AF58" i="7"/>
  <c r="N5" i="7"/>
  <c r="T5" i="7"/>
  <c r="AM5" i="7"/>
  <c r="Y17" i="16"/>
  <c r="J17" i="21"/>
  <c r="M17" i="21"/>
  <c r="AJ41" i="6"/>
  <c r="AJ41" i="7"/>
  <c r="AF41" i="23"/>
  <c r="AF93" i="23"/>
  <c r="Y47" i="16"/>
  <c r="AE47" i="16"/>
  <c r="N10" i="7"/>
  <c r="T10" i="7"/>
  <c r="AM10" i="7"/>
  <c r="Y39" i="16"/>
  <c r="AE39" i="16"/>
  <c r="N7" i="7"/>
  <c r="T7" i="7"/>
  <c r="AM7" i="7"/>
  <c r="Z11" i="16"/>
  <c r="K11" i="21"/>
  <c r="N11" i="21"/>
  <c r="AJ26" i="7"/>
  <c r="AJ26" i="9"/>
  <c r="AL26" i="9"/>
  <c r="AJ7" i="6"/>
  <c r="N7" i="6"/>
  <c r="N55" i="6"/>
  <c r="N60" i="6"/>
  <c r="N6" i="7"/>
  <c r="T6" i="7"/>
  <c r="AO6" i="9"/>
  <c r="AE6" i="9"/>
  <c r="AG6" i="9"/>
  <c r="AJ44" i="6"/>
  <c r="N44" i="6"/>
  <c r="N44" i="7"/>
  <c r="T44" i="7"/>
  <c r="AP44" i="9"/>
  <c r="AF44" i="9"/>
  <c r="AK14" i="9"/>
  <c r="N63" i="6"/>
  <c r="AJ14" i="6"/>
  <c r="AK14" i="6"/>
  <c r="AK14" i="7"/>
  <c r="AK14" i="8"/>
  <c r="AJ51" i="6"/>
  <c r="N51" i="6"/>
  <c r="N51" i="7"/>
  <c r="N51" i="9"/>
  <c r="T51" i="9"/>
  <c r="AM51" i="9"/>
  <c r="AJ45" i="6"/>
  <c r="AJ45" i="7"/>
  <c r="AF45" i="23"/>
  <c r="AF97" i="23"/>
  <c r="Z113" i="16"/>
  <c r="K113" i="21"/>
  <c r="N113" i="21"/>
  <c r="AJ24" i="6"/>
  <c r="N24" i="6"/>
  <c r="N24" i="7"/>
  <c r="T24" i="7"/>
  <c r="AM24" i="7"/>
  <c r="Z99" i="16"/>
  <c r="K99" i="21"/>
  <c r="N99" i="21"/>
  <c r="AF158" i="16"/>
  <c r="Z158" i="16"/>
  <c r="AJ26" i="6"/>
  <c r="AK26" i="6"/>
  <c r="AK26" i="7"/>
  <c r="AG26" i="23"/>
  <c r="AG78" i="23"/>
  <c r="R31" i="28"/>
  <c r="AJ48" i="6"/>
  <c r="N48" i="6"/>
  <c r="N48" i="7"/>
  <c r="T48" i="7"/>
  <c r="AM48" i="7"/>
  <c r="U31" i="28"/>
  <c r="AJ17" i="6"/>
  <c r="N17" i="6"/>
  <c r="N17" i="7"/>
  <c r="L66" i="6"/>
  <c r="L64" i="6"/>
  <c r="L70" i="6"/>
  <c r="N64" i="6"/>
  <c r="AJ20" i="6"/>
  <c r="N20" i="6"/>
  <c r="N20" i="7"/>
  <c r="T20" i="7"/>
  <c r="AM20" i="7"/>
  <c r="Z70" i="16"/>
  <c r="K70" i="21"/>
  <c r="N7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33" authorId="0" shapeId="0" xr:uid="{47CE1775-0665-4270-9F3A-27BB68291769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E3F3F-A4EE-41E2-B2DC-89558B6D0760}" name="Conexão" type="7" refreshedVersion="7" background="1" saveData="1"/>
  <connection id="2" xr16:uid="{041FF122-E92B-4753-8AF8-3771C5F11A82}" name="Conexão1" type="7" refreshedVersion="7" background="1" saveData="1"/>
  <connection id="3" xr16:uid="{1BF65BF7-DA78-4C97-B8B9-68BB43C267F1}" name="Conexão2" type="7" refreshedVersion="7" background="1" saveData="1"/>
</connections>
</file>

<file path=xl/sharedStrings.xml><?xml version="1.0" encoding="utf-8"?>
<sst xmlns="http://schemas.openxmlformats.org/spreadsheetml/2006/main" count="12362" uniqueCount="1000">
  <si>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</si>
  <si>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</si>
  <si>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</si>
  <si>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</si>
  <si>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</si>
  <si>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</si>
  <si>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</si>
  <si>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</si>
  <si>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</si>
  <si>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</si>
  <si>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</si>
  <si>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</si>
  <si>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</si>
  <si>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</si>
  <si>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</si>
  <si>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</si>
  <si>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</si>
  <si>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</si>
  <si>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</si>
  <si>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</si>
  <si>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</si>
  <si>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</si>
  <si>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</si>
  <si>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</si>
  <si>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</si>
  <si>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</si>
  <si>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</si>
  <si>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Residencial baixa renda – faixa 01</t>
  </si>
  <si>
    <t>Residencial baixa renda – faixa 02</t>
  </si>
  <si>
    <t>Residencial baixa renda – faixa 03</t>
  </si>
  <si>
    <t>Residencial baixa renda – faixa 04</t>
  </si>
  <si>
    <t>B3</t>
  </si>
  <si>
    <t>Industrial</t>
  </si>
  <si>
    <t>A4</t>
  </si>
  <si>
    <t>Azul</t>
  </si>
  <si>
    <t>Ponta</t>
  </si>
  <si>
    <t>Fora ponta</t>
  </si>
  <si>
    <t>Verde</t>
  </si>
  <si>
    <t>Comercial</t>
  </si>
  <si>
    <t>B2</t>
  </si>
  <si>
    <t>Rural</t>
  </si>
  <si>
    <t>Poder público</t>
  </si>
  <si>
    <t>B4</t>
  </si>
  <si>
    <t>Iluminação pública</t>
  </si>
  <si>
    <t>Iluminação pública – B4b</t>
  </si>
  <si>
    <t>Serviço público</t>
  </si>
  <si>
    <t>Água, esgoto e saneamento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</si>
  <si>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</si>
  <si>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</si>
  <si>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</si>
  <si>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</si>
  <si>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</si>
  <si>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</si>
  <si>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</si>
  <si>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</si>
  <si>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</si>
  <si>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</si>
  <si>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</si>
  <si>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</si>
  <si>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</si>
  <si>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</si>
  <si>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</si>
  <si>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Energia horária</t>
  </si>
  <si>
    <t>MWh</t>
  </si>
  <si>
    <t>EP</t>
  </si>
  <si>
    <t>EFP</t>
  </si>
  <si>
    <t>kW</t>
  </si>
  <si>
    <t>DP</t>
  </si>
  <si>
    <t>DFP</t>
  </si>
  <si>
    <t>E</t>
  </si>
  <si>
    <t>APE</t>
  </si>
  <si>
    <t>Geração</t>
  </si>
  <si>
    <t>B</t>
  </si>
  <si>
    <t>TIPO 01</t>
  </si>
  <si>
    <t>TIPO 02</t>
  </si>
  <si>
    <t>EINT</t>
  </si>
  <si>
    <t>Energia convencional</t>
  </si>
  <si>
    <t>Branca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</si>
  <si>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</si>
  <si>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</si>
  <si>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</si>
  <si>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</si>
  <si>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B4a</t>
  </si>
  <si>
    <t>CHAVE TUSD</t>
  </si>
  <si>
    <t>44440A4AzulNão se aplicaNão se aplicaNão se aplicaNão se aplicaFora ponta</t>
  </si>
  <si>
    <t>44470A4AzulNão se aplicaNão se aplicaNão se aplicaNão se aplicaFora ponta</t>
  </si>
  <si>
    <t>44501A4AzulNão se aplicaNão se aplicaNão se aplicaNão se aplicaFora ponta</t>
  </si>
  <si>
    <t>44531A4AzulNão se aplicaNão se aplicaNão se aplicaNão se aplicaFora ponta</t>
  </si>
  <si>
    <t>44562A4AzulNão se aplicaNão se aplicaNão se aplicaNão se aplicaFora ponta</t>
  </si>
  <si>
    <t>44593A4AzulNão se aplicaNão se aplicaNão se aplicaNão se aplicaFora ponta</t>
  </si>
  <si>
    <t>44621A4AzulNão se aplicaNão se aplicaNão se aplicaNão se aplicaFora ponta</t>
  </si>
  <si>
    <t>44652A4AzulNão se aplicaNão se aplicaNão se aplicaNão se aplicaFora ponta</t>
  </si>
  <si>
    <t>44682A4AzulNão se aplicaNão se aplicaNão se aplicaNão se aplicaFora ponta</t>
  </si>
  <si>
    <t>44713A4AzulNão se aplicaNão se aplicaNão se aplicaNão se aplicaFora ponta</t>
  </si>
  <si>
    <t>44743A4AzulNão se aplicaNão se aplicaNão se aplicaNão se aplicaFora ponta</t>
  </si>
  <si>
    <t>44774A4AzulNão se aplicaNão se aplicaNão se aplicaNão se aplicaFora ponta</t>
  </si>
  <si>
    <t>44440A4AzulNão se aplicaNão se aplicaNão se aplicaNão se aplicaPonta</t>
  </si>
  <si>
    <t>44470A4AzulNão se aplicaNão se aplicaNão se aplicaNão se aplicaPonta</t>
  </si>
  <si>
    <t>44501A4AzulNão se aplicaNão se aplicaNão se aplicaNão se aplicaPonta</t>
  </si>
  <si>
    <t>44531A4AzulNão se aplicaNão se aplicaNão se aplicaNão se aplicaPonta</t>
  </si>
  <si>
    <t>44562A4AzulNão se aplicaNão se aplicaNão se aplicaNão se aplicaPonta</t>
  </si>
  <si>
    <t>44593A4AzulNão se aplicaNão se aplicaNão se aplicaNão se aplicaPonta</t>
  </si>
  <si>
    <t>44621A4AzulNão se aplicaNão se aplicaNão se aplicaNão se aplicaPonta</t>
  </si>
  <si>
    <t>44652A4AzulNão se aplicaNão se aplicaNão se aplicaNão se aplicaPonta</t>
  </si>
  <si>
    <t>44682A4AzulNão se aplicaNão se aplicaNão se aplicaNão se aplicaPonta</t>
  </si>
  <si>
    <t>44713A4AzulNão se aplicaNão se aplicaNão se aplicaNão se aplicaPonta</t>
  </si>
  <si>
    <t>44743A4AzulNão se aplicaNão se aplicaNão se aplicaNão se aplicaPonta</t>
  </si>
  <si>
    <t>44774A4AzulNão se aplicaNão se aplicaNão se aplicaNão se aplicaPonta</t>
  </si>
  <si>
    <t>44440A4VerdeNão se aplicaNão se aplicaNão se aplicaNão se aplicaFora ponta</t>
  </si>
  <si>
    <t>44470A4VerdeNão se aplicaNão se aplicaNão se aplicaNão se aplicaFora ponta</t>
  </si>
  <si>
    <t>44501A4VerdeNão se aplicaNão se aplicaNão se aplicaNão se aplicaFora ponta</t>
  </si>
  <si>
    <t>44531A4VerdeNão se aplicaNão se aplicaNão se aplicaNão se aplicaFora ponta</t>
  </si>
  <si>
    <t>44562A4VerdeNão se aplicaNão se aplicaNão se aplicaNão se aplicaFora ponta</t>
  </si>
  <si>
    <t>44593A4VerdeNão se aplicaNão se aplicaNão se aplicaNão se aplicaFora ponta</t>
  </si>
  <si>
    <t>44621A4VerdeNão se aplicaNão se aplicaNão se aplicaNão se aplicaFora ponta</t>
  </si>
  <si>
    <t>44652A4VerdeNão se aplicaNão se aplicaNão se aplicaNão se aplicaFora ponta</t>
  </si>
  <si>
    <t>44682A4VerdeNão se aplicaNão se aplicaNão se aplicaNão se aplicaFora ponta</t>
  </si>
  <si>
    <t>44713A4VerdeNão se aplicaNão se aplicaNão se aplicaNão se aplicaFora ponta</t>
  </si>
  <si>
    <t>44743A4VerdeNão se aplicaNão se aplicaNão se aplicaNão se aplicaFora ponta</t>
  </si>
  <si>
    <t>44774A4VerdeNão se aplicaNão se aplicaNão se aplicaNão se aplicaFora ponta</t>
  </si>
  <si>
    <t>44440A4VerdeNão se aplicaNão se aplicaNão se aplicaNão se aplicaNão se aplica</t>
  </si>
  <si>
    <t>44470A4VerdeNão se aplicaNão se aplicaNão se aplicaNão se aplicaNão se aplica</t>
  </si>
  <si>
    <t>44501A4VerdeNão se aplicaNão se aplicaNão se aplicaNão se aplicaNão se aplica</t>
  </si>
  <si>
    <t>44531A4VerdeNão se aplicaNão se aplicaNão se aplicaNão se aplicaNão se aplica</t>
  </si>
  <si>
    <t>44562A4VerdeNão se aplicaNão se aplicaNão se aplicaNão se aplicaNão se aplica</t>
  </si>
  <si>
    <t>44593A4VerdeNão se aplicaNão se aplicaNão se aplicaNão se aplicaNão se aplica</t>
  </si>
  <si>
    <t>44621A4VerdeNão se aplicaNão se aplicaNão se aplicaNão se aplicaNão se aplica</t>
  </si>
  <si>
    <t>44652A4VerdeNão se aplicaNão se aplicaNão se aplicaNão se aplicaNão se aplica</t>
  </si>
  <si>
    <t>44682A4VerdeNão se aplicaNão se aplicaNão se aplicaNão se aplicaNão se aplica</t>
  </si>
  <si>
    <t>44713A4VerdeNão se aplicaNão se aplicaNão se aplicaNão se aplicaNão se aplica</t>
  </si>
  <si>
    <t>44743A4VerdeNão se aplicaNão se aplicaNão se aplicaNão se aplicaNão se aplica</t>
  </si>
  <si>
    <t>44774A4VerdeNão se aplicaNão se aplicaNão se aplicaNão se aplicaNão se aplica</t>
  </si>
  <si>
    <t>44440A4VerdeNão se aplicaNão se aplicaNão se aplicaNão se aplicaPonta</t>
  </si>
  <si>
    <t>44470A4VerdeNão se aplicaNão se aplicaNão se aplicaNão se aplicaPonta</t>
  </si>
  <si>
    <t>44501A4VerdeNão se aplicaNão se aplicaNão se aplicaNão se aplicaPonta</t>
  </si>
  <si>
    <t>44531A4VerdeNão se aplicaNão se aplicaNão se aplicaNão se aplicaPonta</t>
  </si>
  <si>
    <t>44562A4VerdeNão se aplicaNão se aplicaNão se aplicaNão se aplicaPonta</t>
  </si>
  <si>
    <t>44593A4VerdeNão se aplicaNão se aplicaNão se aplicaNão se aplicaPonta</t>
  </si>
  <si>
    <t>44621A4VerdeNão se aplicaNão se aplicaNão se aplicaNão se aplicaPonta</t>
  </si>
  <si>
    <t>44652A4VerdeNão se aplicaNão se aplicaNão se aplicaNão se aplicaPonta</t>
  </si>
  <si>
    <t>44682A4VerdeNão se aplicaNão se aplicaNão se aplicaNão se aplicaPonta</t>
  </si>
  <si>
    <t>44713A4VerdeNão se aplicaNão se aplicaNão se aplicaNão se aplicaPonta</t>
  </si>
  <si>
    <t>44743A4VerdeNão se aplicaNão se aplicaNão se aplicaNão se aplicaPonta</t>
  </si>
  <si>
    <t>44774A4VerdeNão se aplicaNão se aplicaNão se aplicaNão se aplicaPonta</t>
  </si>
  <si>
    <t>44440B1ConvencionalResidencialResidencialNão se aplicaNão se aplicaNão se aplica</t>
  </si>
  <si>
    <t>44470B1ConvencionalResidencialResidencialNão se aplicaNão se aplicaNão se aplica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</si>
  <si>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</si>
  <si>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</si>
  <si>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</si>
  <si>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</si>
  <si>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</si>
  <si>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44652B1ConvencionalResidencialResidencialNão se aplicaNão se aplicaNão se aplica</t>
  </si>
  <si>
    <t>44682B1ConvencionalResidencialResidencialNão se aplicaNão se aplicaNão se aplica</t>
  </si>
  <si>
    <t>44713B1ConvencionalResidencialResidencialNão se aplicaNão se aplicaNão se aplica</t>
  </si>
  <si>
    <t>44743B1ConvencionalResidencialResidencialNão se aplicaNão se aplicaNão se aplica</t>
  </si>
  <si>
    <t>44774B1ConvencionalResidencialResidencialNão se aplicaNão se aplicaNão se aplica</t>
  </si>
  <si>
    <t>44440B1ConvencionalResidencialResidencial baixa renda – faixa 01Não se aplicaNão se aplicaNão se aplica</t>
  </si>
  <si>
    <t>44470B1ConvencionalResidencialResidencial baixa renda – faixa 01Não se aplicaNão se aplicaNão se aplica</t>
  </si>
  <si>
    <t>44501B1ConvencionalResidencialResidencial baixa renda – faixa 01Não se aplicaNão se aplicaNão se aplica</t>
  </si>
  <si>
    <t>44531B1ConvencionalResidencialResidencial baixa renda – faixa 01Não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</si>
  <si>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</si>
  <si>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</si>
  <si>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</si>
  <si>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44652B1ConvencionalResidencialResidencial baixa renda – faixa 01Não se aplicaNão se aplicaNão se aplica</t>
  </si>
  <si>
    <t>44682B1ConvencionalResidencialResidencial baixa renda – faixa 01Não se aplicaNão se aplicaNão se aplica</t>
  </si>
  <si>
    <t>44713B1ConvencionalResidencialResidencial baixa renda – faixa 01Não se aplicaNão se aplicaNão se aplica</t>
  </si>
  <si>
    <t>44743B1ConvencionalResidencialResidencial baixa renda – faixa 01Não se aplicaNão se aplicaNão se aplica</t>
  </si>
  <si>
    <t>44774B1ConvencionalResidencialResidencial baixa renda – faixa 01Não se aplicaNão se aplicaNão se aplica</t>
  </si>
  <si>
    <t>44440B1ConvencionalResidencialResidencial baixa renda – faixa 02Não se aplicaNão se aplicaNão se aplica</t>
  </si>
  <si>
    <t>44470B1ConvencionalResidencialResidencial baixa renda – faixa 02Não se aplicaNão se aplicaNão se aplica</t>
  </si>
  <si>
    <t>44501B1ConvencionalResidencialResidencial baixa renda – faixa 02Não se aplicaNão se aplicaNão se aplica</t>
  </si>
  <si>
    <t>44531B1ConvencionalResidencialResidencial baixa renda – faixa 02Não se aplicaNão se aplicaNão se aplica</t>
  </si>
  <si>
    <t>44562B1ConvencionalResidencialResidencial baixa renda – faixa 02Não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</si>
  <si>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</si>
  <si>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</si>
  <si>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44652B1ConvencionalResidencialResidencial baixa renda – faixa 02Não se aplicaNão se aplicaNão se aplica</t>
  </si>
  <si>
    <t>44682B1ConvencionalResidencialResidencial baixa renda – faixa 02Não se aplicaNão se aplicaNão se aplica</t>
  </si>
  <si>
    <t>44713B1ConvencionalResidencialResidencial baixa renda – faixa 02Não se aplicaNão se aplicaNão se aplica</t>
  </si>
  <si>
    <t>44743B1ConvencionalResidencialResidencial baixa renda – faixa 02Não se aplicaNão se aplicaNão se aplica</t>
  </si>
  <si>
    <t>44774B1ConvencionalResidencialResidencial baixa renda – faixa 02Não se aplicaNão se aplicaNão se aplica</t>
  </si>
  <si>
    <t>44440B1ConvencionalResidencialResidencial baixa renda – faixa 03Não se aplicaNão se aplicaNão se aplica</t>
  </si>
  <si>
    <t>44440B1ConvencionalResidencialResidencial baixa renda – faixa 04Não se aplicaNão se aplicaNão se aplica</t>
  </si>
  <si>
    <t>44440B2ConvencionalRuralNão se aplicaNão se aplicaNão se aplicaNão se aplica</t>
  </si>
  <si>
    <t>44470B2ConvencionalRuralNão se aplicaNão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</si>
  <si>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</si>
  <si>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</si>
  <si>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44562B2ConvencionalRuralNão se aplicaNão se aplicaNão se aplicaNão se aplica</t>
  </si>
  <si>
    <t>44593B2ConvencionalRuralNão se aplicaNão se aplicaNão se aplicaNão se aplica</t>
  </si>
  <si>
    <t>44621B2ConvencionalRuralNão se aplicaNão se aplicaNão se aplicaNão se aplica</t>
  </si>
  <si>
    <t>44652B2ConvencionalRuralNão se aplicaNão se aplicaNão se aplicaNão se aplica</t>
  </si>
  <si>
    <t>44682B2ConvencionalRuralNão se aplicaNão se aplicaNão se aplicaNão se aplica</t>
  </si>
  <si>
    <t>44713B2ConvencionalRuralNão se aplicaNão se aplicaNão se aplicaNão se aplica</t>
  </si>
  <si>
    <t>44743B2ConvencionalRuralNão se aplicaNão se aplicaNão se aplicaNão se aplica</t>
  </si>
  <si>
    <t>44774B2ConvencionalRuralNão se aplicaNão se aplicaNão se aplicaNão se aplica</t>
  </si>
  <si>
    <t>44440B3ConvencionalNão se aplicaNão se aplicaNão se aplicaNão se aplicaNão se aplica</t>
  </si>
  <si>
    <t>44470B3ConvencionalNão se aplicaNão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</si>
  <si>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</si>
  <si>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</si>
  <si>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</si>
  <si>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</si>
  <si>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</si>
  <si>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44652B3ConvencionalNão se aplicaNão se aplicaNão se aplicaNão se aplicaNão se aplica</t>
  </si>
  <si>
    <t>44682B3ConvencionalNão se aplicaNão se aplicaNão se aplicaNão se aplicaNão se aplica</t>
  </si>
  <si>
    <t>44713B3ConvencionalNão se aplicaNão se aplicaNão se aplicaNão se aplicaNão se aplica</t>
  </si>
  <si>
    <t>44743B3ConvencionalNão se aplicaNão se aplicaNão se aplicaNão se aplicaNão se aplica</t>
  </si>
  <si>
    <t>44774B3ConvencionalNão se aplicaNão se aplicaNão se aplicaNão se aplicaNão se aplica</t>
  </si>
  <si>
    <t>44440B4ConvencionalIluminação públicaIluminação pública – B4bNão se aplicaNão se aplicaNão se aplica</t>
  </si>
  <si>
    <t>44470B4ConvencionalIluminação públicaIluminação pública – B4bNão se aplicaNão se aplicaNão se aplica</t>
  </si>
  <si>
    <t>44501B4ConvencionalIluminação públicaIluminação pública – B4bNão se aplicaNão se aplicaNão se aplica</t>
  </si>
  <si>
    <t>44531B4ConvencionalIluminação públicaIluminação pública – B4bNão se aplicaNão se aplicaNão se aplica</t>
  </si>
  <si>
    <t>44562B4ConvencionalIluminação públicaIluminação pública – B4bNão se aplicaNão se aplicaNão se aplica</t>
  </si>
  <si>
    <t>44593B4ConvencionalIluminação públicaIluminação pública – B4bNão se aplicaNão se aplicaNão se aplica</t>
  </si>
  <si>
    <t>44621B4ConvencionalIluminação públicaIluminação pública – B4bNão se aplicaNão se aplicaNão se aplica</t>
  </si>
  <si>
    <t>44652B4ConvencionalIluminação públicaIluminação pública – B4bNão se aplicaNão se aplicaNão se aplica</t>
  </si>
  <si>
    <t>44682B4ConvencionalIluminação públicaIluminação pública – B4bNão se aplicaNão se aplicaNão se aplica</t>
  </si>
  <si>
    <t>44713B4ConvencionalIluminação públicaIluminação pública – B4bNão se aplicaNão se aplicaNão se aplica</t>
  </si>
  <si>
    <t>44743B4ConvencionalIluminação públicaIluminação pública – B4bNão se aplicaNão se aplicaNão se aplica</t>
  </si>
  <si>
    <t>44774B4ConvencionalIluminação públicaIluminação pública – B4bNão se aplicaNão se aplicaNão se aplica</t>
  </si>
  <si>
    <t>CHAVE TE</t>
  </si>
  <si>
    <t>44440A4Energia horáriaNão se aplicaNão se aplicaNão se aplicaNão se aplicaFora ponta</t>
  </si>
  <si>
    <t>44470A4Energia horáriaNão se aplicaNão se aplicaNão se aplicaNão se aplicaFora ponta</t>
  </si>
  <si>
    <t>44501A4Energia horáriaNão se aplicaNão se aplicaNão se aplicaNão se aplicaFora ponta</t>
  </si>
  <si>
    <t>44531A4Energia horáriaNão se aplicaNão se aplicaNão se aplicaNão se aplicaFora ponta</t>
  </si>
  <si>
    <t>44562A4Energia horáriaNão se aplicaNão se aplicaNão se aplicaNão se aplicaFora ponta</t>
  </si>
  <si>
    <t>44593A4Energia horáriaNão se aplicaNão se aplicaNão se aplicaNão se aplicaFora ponta</t>
  </si>
  <si>
    <t>44621A4Energia horáriaNão se aplicaNão se aplicaNão se aplicaNão se aplicaFora ponta</t>
  </si>
  <si>
    <t>44652A4Energia horáriaNão se aplicaNão se aplicaNão se aplicaNão se aplicaFora ponta</t>
  </si>
  <si>
    <t>44682A4Energia horáriaNão se aplicaNão se aplicaNão se aplicaNão se aplicaFora ponta</t>
  </si>
  <si>
    <t>44713A4Energia horáriaNão se aplicaNão se aplicaNão se aplicaNão se aplicaFora ponta</t>
  </si>
  <si>
    <t>44743A4Energia horáriaNão se aplicaNão se aplicaNão se aplicaNão se aplicaFora ponta</t>
  </si>
  <si>
    <t>44774A4Energia horáriaNão se aplicaNão se aplicaNão se aplicaNão se aplicaFora ponta</t>
  </si>
  <si>
    <t>44440A4Energia horáriaNão se aplicaNão se aplicaNão se aplicaNão se aplicaPonta</t>
  </si>
  <si>
    <t>44470A4Energia horáriaNão se aplicaNão se aplicaNão se aplicaNão se aplicaPonta</t>
  </si>
  <si>
    <t>44501A4Energia horáriaNão se aplicaNão se aplicaNão se aplicaNão se aplicaPonta</t>
  </si>
  <si>
    <t>44531A4Energia horáriaNão se aplicaNão se aplicaNão se aplicaNão se aplicaPonta</t>
  </si>
  <si>
    <t>44562A4Energia horáriaNão se aplicaNão se aplicaNão se aplicaNão se aplicaPonta</t>
  </si>
  <si>
    <t>44593A4Energia horáriaNão se aplicaNão se aplicaNão se aplicaNão se aplicaPonta</t>
  </si>
  <si>
    <t>44621A4Energia horáriaNão se aplicaNão se aplicaNão se aplicaNão se aplicaPonta</t>
  </si>
  <si>
    <t>44652A4Energia horáriaNão se aplicaNão se aplicaNão se aplicaNão se aplicaPonta</t>
  </si>
  <si>
    <t>44682A4Energia horáriaNão se aplicaNão se aplicaNão se aplicaNão se aplicaPonta</t>
  </si>
  <si>
    <t>44713A4Energia horáriaNão se aplicaNão se aplicaNão se aplicaNão se aplicaPonta</t>
  </si>
  <si>
    <t>44743A4Energia horáriaNão se aplicaNão se aplicaNão se aplicaNão se aplicaPonta</t>
  </si>
  <si>
    <t>44774A4Energia horáriaNão se aplicaNão se aplicaNão se aplicaNão se aplicaPonta</t>
  </si>
  <si>
    <t>CUIDADO</t>
  </si>
  <si>
    <t>Desculpe, mas não foi encontrado posto Não se aplica, modalidade Energia horária, subgrupo A4 no banco de regras.</t>
  </si>
  <si>
    <t>Mercado_Receita</t>
  </si>
  <si>
    <t>S</t>
  </si>
  <si>
    <t>44440B1Energia convencionalResidencialResidencialNão se aplicaNão se aplicaNão se aplica</t>
  </si>
  <si>
    <t>44470B1Energia convencionalResidencialResidencialNão se aplicaNão se aplicaNão se aplica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</si>
  <si>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</si>
  <si>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</si>
  <si>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</si>
  <si>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</si>
  <si>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</si>
  <si>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44652B1Energia convencionalResidencialResidencialNão se aplicaNão se aplicaNão se aplica</t>
  </si>
  <si>
    <t>44682B1Energia convencionalResidencialResidencialNão se aplicaNão se aplicaNão se aplica</t>
  </si>
  <si>
    <t>44713B1Energia convencionalResidencialResidencialNão se aplicaNão se aplicaNão se aplica</t>
  </si>
  <si>
    <t>44743B1Energia convencionalResidencialResidencialNão se aplicaNão se aplicaNão se aplica</t>
  </si>
  <si>
    <t>44774B1Energia convencionalResidencialResidencialNão se aplicaNão se aplicaNão se aplica</t>
  </si>
  <si>
    <t>44440B1Energia convencionalResidencialResidencial baixa renda – faixa 01Não se aplicaNão se aplicaNão se aplica</t>
  </si>
  <si>
    <t>44470B1Energia convencionalResidencialResidencial baixa renda – faixa 01Não se aplicaNão se aplicaNão se aplica</t>
  </si>
  <si>
    <t>44501B1Energia convencionalResidencialResidencial baixa renda – faixa 01Não se aplicaNão se aplicaNão se aplica</t>
  </si>
  <si>
    <t>44531B1Energia convencionalResidencialResidencial baixa renda – faixa 01Não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</si>
  <si>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</si>
  <si>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</si>
  <si>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</si>
  <si>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44652B1Energia convencionalResidencialResidencial baixa renda – faixa 01Não se aplicaNão se aplicaNão se aplica</t>
  </si>
  <si>
    <t>44682B1Energia convencionalResidencialResidencial baixa renda – faixa 01Não se aplicaNão se aplicaNão se aplica</t>
  </si>
  <si>
    <t>44713B1Energia convencionalResidencialResidencial baixa renda – faixa 01Não se aplicaNão se aplicaNão se aplica</t>
  </si>
  <si>
    <t>44743B1Energia convencionalResidencialResidencial baixa renda – faixa 01Não se aplicaNão se aplicaNão se aplica</t>
  </si>
  <si>
    <t>44774B1Energia convencionalResidencialResidencial baixa renda – faixa 01Não se aplicaNão se aplicaNão se aplica</t>
  </si>
  <si>
    <t>44440B1Energia convencionalResidencialResidencial baixa renda – faixa 02Não se aplicaNão se aplicaNão se aplica</t>
  </si>
  <si>
    <t>44470B1Energia convencionalResidencialResidencial baixa renda – faixa 02Não se aplicaNão se aplicaNão se aplica</t>
  </si>
  <si>
    <t>44501B1Energia convencionalResidencialResidencial baixa renda – faixa 02Não se aplicaNão se aplicaNão se aplica</t>
  </si>
  <si>
    <t>44531B1Energia convencionalResidencialResidencial baixa renda – faixa 02Não se aplicaNão se aplicaNão se aplica</t>
  </si>
  <si>
    <t>44562B1Energia convencionalResidencialResidencial baixa renda – faixa 02Não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</si>
  <si>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</si>
  <si>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</si>
  <si>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44652B1Energia convencionalResidencialResidencial baixa renda – faixa 02Não se aplicaNão se aplicaNão se aplica</t>
  </si>
  <si>
    <t>44682B1Energia convencionalResidencialResidencial baixa renda – faixa 02Não se aplicaNão se aplicaNão se aplica</t>
  </si>
  <si>
    <t>44713B1Energia convencionalResidencialResidencial baixa renda – faixa 02Não se aplicaNão se aplicaNão se aplica</t>
  </si>
  <si>
    <t>44743B1Energia convencionalResidencialResidencial baixa renda – faixa 02Não se aplicaNão se aplicaNão se aplica</t>
  </si>
  <si>
    <t>44774B1Energia convencionalResidencialResidencial baixa renda – faixa 02Não se aplicaNão se aplicaNão se aplica</t>
  </si>
  <si>
    <t>44440B1Energia convencionalResidencialResidencial baixa renda – faixa 03Não se aplicaNão se aplicaNão se aplica</t>
  </si>
  <si>
    <t>44440B1Energia convencionalResidencialResidencial baixa renda – faixa 04Não se aplicaNão se aplicaNão se aplica</t>
  </si>
  <si>
    <t>44440B2Energia convencionalRuralNão se aplicaNão se aplicaNão se aplicaNão se aplica</t>
  </si>
  <si>
    <t>44470B2Energia convencionalRuralNão se aplicaNão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</si>
  <si>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</si>
  <si>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</si>
  <si>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44562B2Energia convencionalRuralNão se aplicaNão se aplicaNão se aplicaNão se aplica</t>
  </si>
  <si>
    <t>44593B2Energia convencionalRuralNão se aplicaNão se aplicaNão se aplicaNão se aplica</t>
  </si>
  <si>
    <t>44621B2Energia convencionalRuralNão se aplicaNão se aplicaNão se aplicaNão se aplica</t>
  </si>
  <si>
    <t>44652B2Energia convencionalRuralNão se aplicaNão se aplicaNão se aplicaNão se aplica</t>
  </si>
  <si>
    <t>44682B2Energia convencionalRuralNão se aplicaNão se aplicaNão se aplicaNão se aplica</t>
  </si>
  <si>
    <t>44713B2Energia convencionalRuralNão se aplicaNão se aplicaNão se aplicaNão se aplica</t>
  </si>
  <si>
    <t>44743B2Energia convencionalRuralNão se aplicaNão se aplicaNão se aplicaNão se aplica</t>
  </si>
  <si>
    <t>44774B2Energia convencionalRuralNão se aplicaNão se aplicaNão se aplicaNão se aplica</t>
  </si>
  <si>
    <t>44440B3Energia convencionalNão se aplicaNão se aplicaNão se aplicaNão se aplicaNão se aplica</t>
  </si>
  <si>
    <t>44470B3Energia convencionalNão se aplicaNão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</si>
  <si>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</si>
  <si>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</si>
  <si>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</si>
  <si>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</si>
  <si>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</si>
  <si>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44652B3Energia convencionalNão se aplicaNão se aplicaNão se aplicaNão se aplicaNão se aplica</t>
  </si>
  <si>
    <t>44682B3Energia convencionalNão se aplicaNão se aplicaNão se aplicaNão se aplicaNão se aplica</t>
  </si>
  <si>
    <t>44713B3Energia convencionalNão se aplicaNão se aplicaNão se aplicaNão se aplicaNão se aplica</t>
  </si>
  <si>
    <t>44743B3Energia convencionalNão se aplicaNão se aplicaNão se aplicaNão se aplicaNão se aplica</t>
  </si>
  <si>
    <t>44774B3Energia convencionalNão se aplicaNão se aplicaNão se aplicaNão se aplicaNão se aplica</t>
  </si>
  <si>
    <t>44440B4Energia convencionalIluminação públicaIluminação pública – B4bNão se aplicaNão se aplicaNão se aplica</t>
  </si>
  <si>
    <t>44470B4Energia convencionalIluminação públicaIluminação pública – B4bNão se aplicaNão se aplicaNão se aplica</t>
  </si>
  <si>
    <t>44501B4Energia convencionalIluminação públicaIluminação pública – B4bNão se aplicaNão se aplicaNão se aplica</t>
  </si>
  <si>
    <t>44531B4Energia convencionalIluminação públicaIluminação pública – B4bNão se aplicaNão se aplicaNão se aplica</t>
  </si>
  <si>
    <t>44562B4Energia convencionalIluminação públicaIluminação pública – B4bNão se aplicaNão se aplicaNão se aplica</t>
  </si>
  <si>
    <t>44593B4Energia convencionalIluminação públicaIluminação pública – B4bNão se aplicaNão se aplicaNão se aplica</t>
  </si>
  <si>
    <t>44621B4Energia convencionalIluminação públicaIluminação pública – B4bNão se aplicaNão se aplicaNão se aplica</t>
  </si>
  <si>
    <t>44652B4Energia convencionalIluminação públicaIluminação pública – B4bNão se aplicaNão se aplicaNão se aplica</t>
  </si>
  <si>
    <t>44682B4Energia convencionalIluminação públicaIluminação pública – B4bNão se aplicaNão se aplicaNão se aplica</t>
  </si>
  <si>
    <t>44713B4Energia convencionalIluminação públicaIluminação pública – B4bNão se aplicaNão se aplicaNão se aplica</t>
  </si>
  <si>
    <t>44743B4Energia convencionalIluminação públicaIluminação pública – B4bNão se aplicaNão se aplicaNão se aplica</t>
  </si>
  <si>
    <t>44774B4Energia convencionalIluminação públicaIluminação pública – B4bNão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</si>
  <si>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</si>
  <si>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</si>
  <si>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</si>
  <si>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</si>
  <si>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</si>
  <si>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</si>
  <si>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</si>
  <si>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</si>
  <si>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</si>
  <si>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</si>
  <si>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</si>
  <si>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</si>
  <si>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</si>
  <si>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</si>
  <si>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</si>
  <si>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</si>
  <si>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</si>
  <si>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</si>
  <si>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</si>
  <si>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</si>
  <si>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</si>
  <si>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</si>
  <si>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</si>
  <si>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</si>
  <si>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</si>
  <si>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</si>
  <si>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</si>
  <si>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</si>
  <si>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</si>
  <si>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</si>
  <si>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</si>
  <si>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</si>
  <si>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CDE ELET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</si>
  <si>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</si>
  <si>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</si>
  <si>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</si>
  <si>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</si>
  <si>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</si>
  <si>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</si>
  <si>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</si>
  <si>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</si>
  <si>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</si>
  <si>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</si>
  <si>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</si>
  <si>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</si>
  <si>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</si>
  <si>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</si>
  <si>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</si>
  <si>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</si>
  <si>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</si>
  <si>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</si>
  <si>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</si>
  <si>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</si>
  <si>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</si>
  <si>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</si>
  <si>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</si>
  <si>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</si>
  <si>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</si>
  <si>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</si>
  <si>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</si>
  <si>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</si>
  <si>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</si>
  <si>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</si>
  <si>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</si>
  <si>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</si>
  <si>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</si>
  <si>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</si>
  <si>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</si>
  <si>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</si>
  <si>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</si>
  <si>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</si>
  <si>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</si>
  <si>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</si>
  <si>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</si>
  <si>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</si>
  <si>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</si>
  <si>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</si>
  <si>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</si>
  <si>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</si>
  <si>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</si>
  <si>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</si>
  <si>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</si>
  <si>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</si>
  <si>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</si>
  <si>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</si>
  <si>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</si>
  <si>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</si>
  <si>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</si>
  <si>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</si>
  <si>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</si>
  <si>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</si>
  <si>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</si>
  <si>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</si>
  <si>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</si>
  <si>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</si>
  <si>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</si>
  <si>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</si>
  <si>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</si>
  <si>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</si>
  <si>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</si>
  <si>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</si>
  <si>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2.954, DE 28 DE SETEMBRO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</si>
  <si>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</si>
  <si>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</si>
  <si>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</si>
  <si>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</si>
  <si>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</si>
  <si>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</si>
  <si>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</si>
  <si>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</si>
  <si>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</si>
  <si>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</si>
  <si>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</si>
  <si>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</si>
  <si>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</si>
  <si>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</si>
  <si>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</si>
  <si>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</si>
  <si>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</si>
  <si>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</si>
  <si>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</si>
  <si>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</si>
  <si>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</si>
  <si>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</si>
  <si>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</si>
  <si>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</si>
  <si>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</si>
  <si>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</si>
  <si>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</si>
  <si>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</si>
  <si>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</si>
  <si>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</si>
  <si>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</si>
  <si>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</si>
  <si>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</si>
  <si>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</si>
  <si>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</si>
  <si>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</si>
  <si>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</si>
  <si>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</si>
  <si>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</si>
  <si>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</si>
  <si>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</si>
  <si>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</si>
  <si>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</si>
  <si>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</si>
  <si>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Potência</t>
  </si>
  <si>
    <t>Ativa</t>
  </si>
  <si>
    <t>Energia</t>
  </si>
  <si>
    <t>Intermediário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</si>
  <si>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</si>
  <si>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</si>
  <si>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</si>
  <si>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</si>
  <si>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</si>
  <si>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</si>
  <si>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</si>
  <si>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</si>
  <si>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</si>
  <si>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</si>
  <si>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</si>
  <si>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</si>
  <si>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</si>
  <si>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</si>
  <si>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</si>
  <si>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</si>
  <si>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</si>
  <si>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</si>
  <si>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</si>
  <si>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Planilha Custo</t>
  </si>
  <si>
    <t>Planilha CUSTO</t>
  </si>
  <si>
    <t xml:space="preserve">Branca </t>
  </si>
  <si>
    <t xml:space="preserve">Convencional 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</si>
  <si>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</si>
  <si>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</si>
  <si>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</si>
  <si>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</si>
  <si>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</si>
  <si>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</si>
  <si>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</si>
  <si>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</si>
  <si>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</si>
  <si>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</si>
  <si>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</si>
  <si>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</si>
  <si>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</si>
  <si>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</si>
  <si>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</si>
  <si>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</si>
  <si>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</si>
  <si>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</si>
  <si>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</si>
  <si>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</si>
  <si>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</si>
  <si>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</si>
  <si>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</si>
  <si>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</si>
  <si>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</si>
  <si>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</si>
  <si>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</si>
  <si>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</si>
  <si>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</si>
  <si>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</si>
  <si>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</si>
  <si>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</si>
  <si>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ÁGUA, ESGOTO E SANEAMENTO</t>
  </si>
  <si>
    <t>R$ (TV)</t>
  </si>
  <si>
    <t>R$ (TN)</t>
  </si>
  <si>
    <t>SUBSIDIO CARGA FONTE INCENTIVADA</t>
  </si>
  <si>
    <t>SUBSIDIO GERAÇÃO FONTE INCENTIVADA</t>
  </si>
  <si>
    <t>SUBSIDIO DISTRIBUIÇÃO</t>
  </si>
  <si>
    <t>SUBSIDIO IRRIGANTE/AQUICULTOR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</si>
  <si>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</si>
  <si>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</si>
  <si>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</si>
  <si>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</si>
  <si>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</si>
  <si>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</si>
  <si>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</si>
  <si>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</si>
  <si>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Convencional1RuralNão se aplicaRuralB2</t>
  </si>
  <si>
    <t>2021</t>
  </si>
  <si>
    <t>Azul1RuralNão se aplicaPlanilha CustoA4</t>
  </si>
  <si>
    <t>Verde1RuralNão se aplicaPlanilha CustoA4</t>
  </si>
  <si>
    <t>Convencional1RuralNão se aplicaPlanilha CustoA4</t>
  </si>
  <si>
    <t>Azul1Serviço públicoÁgua, esgoto e saneamentoPlanilha CUSTOA4</t>
  </si>
  <si>
    <t>Verde1Serviço públicoÁgua, esgoto e saneamentoPlanilha CUSTOA4</t>
  </si>
  <si>
    <t>Convencional 1Serviço públicoÁgua, esgoto e saneamentoPlanilha CUSTOA4</t>
  </si>
  <si>
    <t>Branca1RuralNão se aplicaRuralB2</t>
  </si>
  <si>
    <t>Convencional1RuralCooperativa de eletrificação ruralPlanilha CUSTOB2</t>
  </si>
  <si>
    <t>Branca 1RuralCooperativa de eletrificação ruralPlanilha CUSTOB2</t>
  </si>
  <si>
    <t>Convencional1RuralServiço público de irrigação ruralPlanilha CUSTOB2</t>
  </si>
  <si>
    <t>Branca 1RuralServiço público de irrigação ruralPlanilha CUSTOB2</t>
  </si>
  <si>
    <t>Convencional1Serviço públicoÁgua, esgoto e saneamentoPlanilha CUSTOB3</t>
  </si>
  <si>
    <t>Branca1Serviço públicoÁgua, esgoto e saneamentoPlanilha CUSTOB3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</si>
  <si>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</si>
  <si>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</si>
  <si>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</si>
  <si>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</si>
  <si>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</si>
  <si>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</si>
  <si>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</si>
  <si>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</si>
  <si>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</si>
  <si>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</si>
  <si>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</si>
  <si>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</si>
  <si>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</si>
  <si>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</si>
  <si>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</si>
  <si>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</si>
  <si>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</si>
  <si>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</si>
  <si>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</si>
  <si>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</si>
  <si>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</si>
  <si>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</si>
  <si>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</si>
  <si>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</si>
  <si>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</si>
  <si>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</si>
  <si>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</si>
  <si>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</si>
  <si>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</si>
  <si>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</si>
  <si>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</si>
  <si>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</si>
  <si>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</si>
  <si>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</si>
  <si>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</si>
  <si>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</si>
  <si>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</si>
  <si>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</si>
  <si>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</si>
  <si>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</si>
  <si>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</si>
  <si>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</si>
  <si>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</si>
  <si>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</si>
  <si>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</si>
  <si>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</si>
  <si>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</si>
  <si>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</si>
  <si>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</si>
  <si>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</si>
  <si>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</si>
  <si>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</si>
  <si>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</si>
  <si>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</si>
  <si>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</si>
  <si>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</si>
  <si>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</si>
  <si>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</si>
  <si>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</si>
  <si>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</si>
  <si>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</si>
  <si>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</si>
  <si>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</si>
  <si>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</si>
  <si>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</si>
  <si>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</si>
  <si>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</si>
  <si>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</si>
  <si>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</si>
  <si>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</si>
  <si>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</si>
  <si>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</si>
  <si>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</si>
  <si>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</si>
  <si>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</si>
  <si>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</si>
  <si>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</si>
  <si>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</si>
  <si>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</si>
  <si>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</si>
  <si>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</si>
  <si>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</si>
  <si>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</si>
  <si>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</si>
  <si>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</si>
  <si>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</si>
  <si>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</si>
  <si>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</si>
  <si>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</si>
  <si>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</si>
  <si>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</si>
  <si>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</si>
  <si>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</si>
  <si>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</si>
  <si>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</si>
  <si>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</si>
  <si>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</si>
  <si>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</si>
  <si>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</si>
  <si>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</si>
  <si>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</si>
  <si>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</si>
  <si>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</si>
  <si>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</si>
  <si>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</si>
  <si>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</si>
  <si>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</si>
  <si>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</si>
  <si>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</si>
  <si>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</si>
  <si>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</si>
  <si>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</si>
  <si>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</si>
  <si>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</si>
  <si>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</si>
  <si>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</si>
  <si>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</si>
  <si>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</si>
  <si>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</si>
  <si>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</si>
  <si>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</si>
  <si>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</si>
  <si>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</si>
  <si>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</si>
  <si>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</si>
  <si>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</si>
  <si>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</si>
  <si>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</si>
  <si>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</si>
  <si>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</si>
  <si>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</si>
  <si>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</si>
  <si>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</si>
  <si>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</si>
  <si>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</si>
  <si>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</si>
  <si>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</si>
  <si>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</si>
  <si>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</si>
  <si>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</si>
  <si>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</si>
  <si>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</si>
  <si>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</si>
  <si>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</si>
  <si>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</si>
  <si>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</si>
  <si>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</si>
  <si>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</si>
  <si>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</si>
  <si>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</si>
  <si>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</si>
  <si>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</si>
  <si>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</si>
  <si>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</si>
  <si>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</si>
  <si>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</si>
  <si>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</si>
  <si>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</si>
  <si>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</si>
  <si>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</si>
  <si>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</si>
  <si>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</si>
  <si>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</si>
  <si>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</si>
  <si>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</si>
  <si>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</si>
  <si>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</si>
  <si>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</si>
  <si>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</si>
  <si>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</si>
  <si>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</si>
  <si>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</si>
  <si>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</si>
  <si>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</si>
  <si>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</si>
  <si>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</si>
  <si>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</si>
  <si>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</si>
  <si>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</si>
  <si>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</si>
  <si>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</si>
  <si>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</si>
  <si>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</si>
  <si>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</si>
  <si>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</si>
  <si>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</si>
  <si>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</si>
  <si>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</si>
  <si>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</si>
  <si>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</si>
  <si>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</si>
  <si>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</si>
  <si>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</si>
  <si>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</si>
  <si>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</si>
  <si>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</si>
  <si>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</si>
  <si>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</si>
  <si>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</si>
  <si>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</si>
  <si>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</si>
  <si>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</si>
  <si>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</si>
  <si>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</si>
  <si>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</si>
  <si>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</si>
  <si>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</si>
  <si>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</si>
  <si>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</si>
  <si>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</si>
  <si>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</si>
  <si>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</si>
  <si>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</si>
  <si>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</si>
  <si>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</si>
  <si>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</si>
  <si>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</si>
  <si>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</si>
  <si>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</si>
  <si>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</si>
  <si>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</si>
  <si>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</si>
  <si>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</si>
  <si>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</si>
  <si>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</si>
  <si>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</si>
  <si>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</si>
  <si>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</si>
  <si>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</si>
  <si>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</si>
  <si>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</si>
  <si>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</si>
  <si>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</si>
  <si>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</si>
  <si>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</si>
  <si>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</si>
  <si>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</si>
  <si>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</si>
  <si>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</si>
  <si>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</si>
  <si>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</si>
  <si>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</si>
  <si>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</si>
  <si>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</si>
  <si>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</si>
  <si>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</si>
  <si>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</si>
  <si>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</si>
  <si>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</si>
  <si>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</si>
  <si>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</si>
  <si>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</si>
  <si>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</si>
  <si>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</si>
  <si>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</si>
  <si>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</si>
  <si>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</si>
  <si>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</si>
  <si>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</si>
  <si>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</si>
  <si>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</si>
  <si>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</si>
  <si>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</si>
  <si>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</si>
  <si>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</si>
  <si>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</si>
  <si>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</si>
  <si>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</si>
  <si>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</si>
  <si>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</si>
  <si>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</si>
  <si>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</si>
  <si>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</si>
  <si>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</si>
  <si>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</si>
  <si>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</si>
  <si>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</si>
  <si>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</si>
  <si>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</si>
  <si>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</si>
  <si>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</si>
  <si>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</si>
  <si>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</si>
  <si>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</si>
  <si>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</si>
  <si>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</si>
  <si>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</si>
  <si>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</si>
  <si>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</si>
  <si>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</si>
  <si>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</si>
  <si>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</si>
  <si>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</si>
  <si>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</si>
  <si>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</si>
  <si>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</si>
  <si>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</si>
  <si>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</si>
  <si>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</si>
  <si>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</si>
  <si>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</si>
  <si>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</si>
  <si>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</si>
  <si>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</si>
  <si>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</si>
  <si>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</si>
  <si>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</si>
  <si>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</si>
  <si>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</si>
  <si>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</si>
  <si>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</si>
  <si>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</si>
  <si>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</si>
  <si>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</si>
  <si>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</si>
  <si>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</si>
  <si>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</si>
  <si>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</si>
  <si>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</si>
  <si>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</si>
  <si>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</si>
  <si>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</si>
  <si>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</si>
  <si>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</si>
  <si>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</si>
  <si>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</si>
  <si>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</si>
  <si>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</si>
  <si>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</si>
  <si>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</si>
  <si>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</si>
  <si>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</si>
  <si>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</si>
  <si>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</si>
  <si>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</si>
  <si>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</si>
  <si>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</si>
  <si>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</si>
  <si>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</si>
  <si>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</si>
  <si>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</si>
  <si>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</si>
  <si>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</si>
  <si>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</si>
  <si>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</si>
  <si>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</si>
  <si>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</si>
  <si>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</si>
  <si>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</si>
  <si>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</si>
  <si>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</si>
  <si>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</si>
  <si>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</si>
  <si>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</si>
  <si>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</si>
  <si>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</si>
  <si>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</si>
  <si>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</si>
  <si>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</si>
  <si>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</si>
  <si>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</si>
  <si>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</si>
  <si>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</si>
  <si>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</si>
  <si>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</si>
  <si>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</si>
  <si>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</si>
  <si>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</si>
  <si>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</si>
  <si>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</si>
  <si>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</si>
  <si>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</si>
  <si>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</si>
  <si>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</si>
  <si>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</si>
  <si>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</si>
  <si>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</si>
  <si>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</si>
  <si>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</si>
  <si>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</si>
  <si>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</si>
  <si>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</si>
  <si>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</si>
  <si>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</si>
  <si>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</si>
  <si>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</si>
  <si>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</si>
  <si>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</si>
  <si>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</si>
  <si>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</si>
  <si>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</si>
  <si>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</si>
  <si>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</si>
  <si>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</si>
  <si>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</si>
  <si>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</si>
  <si>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</si>
  <si>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</si>
  <si>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</si>
  <si>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</si>
  <si>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</si>
  <si>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</si>
  <si>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</si>
  <si>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</si>
  <si>
    <t>Total TUSD</t>
  </si>
  <si>
    <t>Total TE</t>
  </si>
  <si>
    <t>TUSD_CDE_COVID</t>
  </si>
  <si>
    <t>TUSD_TFSEE</t>
  </si>
  <si>
    <t>TUSD_PeD</t>
  </si>
  <si>
    <t>TUSD_ONS</t>
  </si>
  <si>
    <t>TUSD_CCC</t>
  </si>
  <si>
    <t>TUSD_CDE</t>
  </si>
  <si>
    <t>TUSD_PROINFA</t>
  </si>
  <si>
    <t>Liminar1</t>
  </si>
  <si>
    <t>TUSD_RB</t>
  </si>
  <si>
    <t>TUSD_FR</t>
  </si>
  <si>
    <t>TUSD_CCT</t>
  </si>
  <si>
    <t>TUSD_CCD</t>
  </si>
  <si>
    <t>TUSD_CUSD</t>
  </si>
  <si>
    <t>TUSDG_T</t>
  </si>
  <si>
    <t>TUSDG_ONS</t>
  </si>
  <si>
    <t>TUSD_FioB</t>
  </si>
  <si>
    <t>TUSD Subsidio</t>
  </si>
  <si>
    <t>TUSD BENEFICIO_L14299</t>
  </si>
  <si>
    <t>TUSD Outros</t>
  </si>
  <si>
    <t>TUSD_PT</t>
  </si>
  <si>
    <t>TUSD_Per_RB_D</t>
  </si>
  <si>
    <t>TUSD_PNT</t>
  </si>
  <si>
    <t>TUSD_RI</t>
  </si>
  <si>
    <t>TE_CDE_COVID</t>
  </si>
  <si>
    <t>TE_CDE_ELET</t>
  </si>
  <si>
    <t>TE_PeD</t>
  </si>
  <si>
    <t>TE_ESSERR</t>
  </si>
  <si>
    <t>TE_CFURH</t>
  </si>
  <si>
    <t>TE_ENERGIA</t>
  </si>
  <si>
    <t>TE_TRANSPORTE_ITAIPU</t>
  </si>
  <si>
    <t>TE_TUST_ITAIPU</t>
  </si>
  <si>
    <t>TE_TUST_CI</t>
  </si>
  <si>
    <t>TE Subsidio</t>
  </si>
  <si>
    <t>TE BENEFICIO_L14299</t>
  </si>
  <si>
    <t>TE_Per_RB</t>
  </si>
  <si>
    <t>Baixa Renda</t>
  </si>
  <si>
    <t>Perdas</t>
  </si>
  <si>
    <t xml:space="preserve">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</si>
</sst>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_);[Red]\(#,##0.00%\)"/>
    <numFmt numFmtId="165" formatCode="#0.00%;[Red]#0.00%"/>
    <numFmt numFmtId="166" formatCode="0.00%_);[Red]\(0.00%\)"/>
    <numFmt numFmtId="167" formatCode="#,##0.00_ ;[Red]\-#,##0.00\ "/>
    <numFmt numFmtId="168" formatCode="#,##0.00_);[Red]\(#,##0.00\)"/>
    <numFmt numFmtId="169" formatCode="#,##0.00;[Red]#,##0.00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horizontal="left"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40" fontId="1" fillId="2" borderId="0" xfId="0" applyNumberFormat="1" applyFont="1" applyFill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164" fontId="3" fillId="0" borderId="0" xfId="0" applyNumberFormat="1" applyFont="1"/>
    <xf numFmtId="167" fontId="1" fillId="0" borderId="0" xfId="0" applyNumberFormat="1" applyFont="1" applyAlignment="1">
      <alignment horizontal="center" vertical="center"/>
    </xf>
    <xf numFmtId="164" fontId="3" fillId="0" borderId="13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horizontal="left" vertical="center" indent="1"/>
    </xf>
    <xf numFmtId="40" fontId="3" fillId="0" borderId="13" xfId="0" quotePrefix="1" applyNumberFormat="1" applyFont="1" applyBorder="1" applyAlignment="1">
      <alignment horizontal="left" vertical="center" indent="1"/>
    </xf>
    <xf numFmtId="0" fontId="3" fillId="0" borderId="13" xfId="0" applyFont="1" applyBorder="1" applyAlignment="1">
      <alignment vertical="center"/>
    </xf>
    <xf numFmtId="40" fontId="3" fillId="2" borderId="13" xfId="0" applyNumberFormat="1" applyFont="1" applyFill="1" applyBorder="1" applyAlignment="1">
      <alignment horizontal="center" vertical="center"/>
    </xf>
    <xf numFmtId="0" fontId="7" fillId="0" borderId="0" xfId="0" pivotButton="1" applyFont="1"/>
    <xf numFmtId="168" fontId="7" fillId="0" borderId="0" xfId="0" applyNumberFormat="1" applyFont="1"/>
    <xf numFmtId="166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0" xfId="0" applyFont="1" applyAlignment="1">
      <alignment horizontal="left" indent="5"/>
    </xf>
    <xf numFmtId="0" fontId="7" fillId="0" borderId="0" xfId="0" applyFont="1" applyAlignment="1">
      <alignment horizontal="left" indent="6"/>
    </xf>
    <xf numFmtId="0" fontId="7" fillId="0" borderId="0" xfId="0" applyFont="1" applyAlignment="1">
      <alignment horizontal="left" indent="7"/>
    </xf>
    <xf numFmtId="14" fontId="7" fillId="0" borderId="0" xfId="0" applyNumberFormat="1" applyFont="1" applyAlignment="1">
      <alignment horizontal="left" indent="8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3" fillId="0" borderId="0" xfId="0" applyNumberFormat="1" applyFont="1"/>
    <xf numFmtId="2" fontId="8" fillId="3" borderId="15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indent="1"/>
    </xf>
    <xf numFmtId="4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horizontal="left" vertical="center" indent="1"/>
    </xf>
    <xf numFmtId="10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left" vertical="center" indent="1"/>
    </xf>
    <xf numFmtId="10" fontId="8" fillId="4" borderId="0" xfId="0" applyNumberFormat="1" applyFont="1" applyFill="1" applyAlignment="1">
      <alignment vertical="center"/>
    </xf>
    <xf numFmtId="0" fontId="9" fillId="5" borderId="16" xfId="0" applyFont="1" applyFill="1" applyBorder="1" applyAlignment="1">
      <alignment horizontal="center" vertical="center"/>
    </xf>
    <xf numFmtId="40" fontId="8" fillId="3" borderId="15" xfId="0" applyNumberFormat="1" applyFont="1" applyFill="1" applyBorder="1" applyAlignment="1">
      <alignment horizontal="center" vertical="center"/>
    </xf>
    <xf numFmtId="169" fontId="8" fillId="4" borderId="0" xfId="0" applyNumberFormat="1" applyFont="1" applyFill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11" fillId="6" borderId="18" xfId="0" applyNumberFormat="1" applyFont="1" applyFill="1" applyBorder="1"/>
    <xf numFmtId="4" fontId="11" fillId="6" borderId="12" xfId="0" applyNumberFormat="1" applyFont="1" applyFill="1" applyBorder="1"/>
    <xf numFmtId="4" fontId="11" fillId="6" borderId="19" xfId="0" applyNumberFormat="1" applyFont="1" applyFill="1" applyBorder="1"/>
    <xf numFmtId="4" fontId="11" fillId="6" borderId="6" xfId="0" applyNumberFormat="1" applyFont="1" applyFill="1" applyBorder="1"/>
    <xf numFmtId="4" fontId="11" fillId="6" borderId="13" xfId="0" applyNumberFormat="1" applyFont="1" applyFill="1" applyBorder="1"/>
    <xf numFmtId="4" fontId="11" fillId="6" borderId="5" xfId="0" applyNumberFormat="1" applyFont="1" applyFill="1" applyBorder="1"/>
    <xf numFmtId="4" fontId="11" fillId="6" borderId="20" xfId="0" applyNumberFormat="1" applyFont="1" applyFill="1" applyBorder="1"/>
    <xf numFmtId="4" fontId="11" fillId="6" borderId="10" xfId="0" applyNumberFormat="1" applyFont="1" applyFill="1" applyBorder="1"/>
    <xf numFmtId="4" fontId="11" fillId="6" borderId="17" xfId="0" applyNumberFormat="1" applyFont="1" applyFill="1" applyBorder="1"/>
    <xf numFmtId="4" fontId="11" fillId="6" borderId="13" xfId="0" applyNumberFormat="1" applyFont="1" applyFill="1" applyBorder="1" applyAlignment="1">
      <alignment horizontal="center"/>
    </xf>
    <xf numFmtId="4" fontId="11" fillId="6" borderId="12" xfId="0" applyNumberFormat="1" applyFont="1" applyFill="1" applyBorder="1" applyAlignment="1">
      <alignment horizontal="center"/>
    </xf>
    <xf numFmtId="4" fontId="11" fillId="6" borderId="19" xfId="0" applyNumberFormat="1" applyFont="1" applyFill="1" applyBorder="1" applyAlignment="1">
      <alignment horizontal="center"/>
    </xf>
    <xf numFmtId="4" fontId="11" fillId="6" borderId="19" xfId="0" applyNumberFormat="1" applyFont="1" applyFill="1" applyBorder="1" applyAlignment="1">
      <alignment horizontal="center"/>
    </xf>
    <xf numFmtId="4" fontId="11" fillId="6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755"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8" formatCode="#,##0.00_);[Red]\(#,##0.00\)"/>
    </dxf>
    <dxf>
      <numFmt numFmtId="168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0%_);[Red]\(0.00%\)"/>
    </dxf>
    <dxf>
      <numFmt numFmtId="166" formatCode="0.00%_);[Red]\(0.00%\)"/>
    </dxf>
    <dxf>
      <numFmt numFmtId="168" formatCode="#,##0.00_);[Red]\(#,##0.00\)"/>
    </dxf>
    <dxf>
      <numFmt numFmtId="16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General</c:formatCode>
                <c:ptCount val="22"/>
                <c:pt idx="0">
                  <c:v>0</c:v>
                </c:pt>
                <c:pt idx="1">
                  <c:v>4.5437579105697646E-4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0.15860575726950213</c:v>
                </c:pt>
                <c:pt idx="6">
                  <c:v>3.1361873522784869E-2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1.5733724299114944E-3</c:v>
                </c:pt>
                <c:pt idx="13">
                  <c:v>0</c:v>
                </c:pt>
                <c:pt idx="14">
                  <c:v>0</c:v>
                </c:pt>
                <c:pt idx="15">
                  <c:v>5.0524976849859946E-2</c:v>
                </c:pt>
                <c:pt idx="16">
                  <c:v>-3.1948064434702911E-2</c:v>
                </c:pt>
                <c:pt idx="17">
                  <c:v>0</c:v>
                </c:pt>
                <c:pt idx="18">
                  <c:v>3.980524137611989E-2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7BE-87AD-E92FD84017CE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General</c:formatCode>
                <c:ptCount val="22"/>
                <c:pt idx="0">
                  <c:v>0</c:v>
                </c:pt>
                <c:pt idx="1">
                  <c:v>4.3994710293076335E-4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0.15956121350711377</c:v>
                </c:pt>
                <c:pt idx="6">
                  <c:v>3.2350916086780736E-2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5.7704105782631059E-3</c:v>
                </c:pt>
                <c:pt idx="13">
                  <c:v>0</c:v>
                </c:pt>
                <c:pt idx="14">
                  <c:v>0</c:v>
                </c:pt>
                <c:pt idx="15">
                  <c:v>4.4110130192186861E-2</c:v>
                </c:pt>
                <c:pt idx="16">
                  <c:v>-3.1887314987001023E-2</c:v>
                </c:pt>
                <c:pt idx="17">
                  <c:v>0</c:v>
                </c:pt>
                <c:pt idx="18">
                  <c:v>3.7776285040148551E-2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8-47BE-87AD-E92FD84017CE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General</c:formatCode>
                <c:ptCount val="22"/>
                <c:pt idx="0">
                  <c:v>0</c:v>
                </c:pt>
                <c:pt idx="1">
                  <c:v>4.3994710293076335E-4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0.15956121350711377</c:v>
                </c:pt>
                <c:pt idx="6">
                  <c:v>3.2350916086780736E-2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5.7704105782631059E-3</c:v>
                </c:pt>
                <c:pt idx="13">
                  <c:v>0</c:v>
                </c:pt>
                <c:pt idx="14">
                  <c:v>0</c:v>
                </c:pt>
                <c:pt idx="15">
                  <c:v>4.4110130192186861E-2</c:v>
                </c:pt>
                <c:pt idx="16">
                  <c:v>-3.1887314987001023E-2</c:v>
                </c:pt>
                <c:pt idx="17">
                  <c:v>0</c:v>
                </c:pt>
                <c:pt idx="18">
                  <c:v>3.7776285040148551E-2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8-47BE-87AD-E92FD84017CE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6E08-47BE-87AD-E92FD84017CE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6E08-47BE-87AD-E92FD84017CE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6E08-47BE-87AD-E92FD840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21000"/>
        <c:axId val="752715424"/>
      </c:radarChart>
      <c:catAx>
        <c:axId val="752721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52715424"/>
        <c:crosses val="autoZero"/>
        <c:auto val="1"/>
        <c:lblAlgn val="ctr"/>
        <c:lblOffset val="100"/>
        <c:noMultiLvlLbl val="0"/>
      </c:catAx>
      <c:valAx>
        <c:axId val="7527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721000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1.9870275580149154E-2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-2.5221714815285588E-2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F-4EE0-ADC9-FE775FB60315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1.9145308950691456E-2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-2.5203786161008084E-2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F-4EE0-ADC9-FE775FB60315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1.9145308950691456E-2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-2.5203786161008084E-2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F-4EE0-ADC9-FE775FB60315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84DF-4EE0-ADC9-FE775FB60315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84DF-4EE0-ADC9-FE775FB60315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84DF-4EE0-ADC9-FE775FB6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80256"/>
        <c:axId val="973577960"/>
      </c:radarChart>
      <c:catAx>
        <c:axId val="973580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3577960"/>
        <c:crosses val="autoZero"/>
        <c:auto val="1"/>
        <c:lblAlgn val="ctr"/>
        <c:lblOffset val="100"/>
        <c:noMultiLvlLbl val="0"/>
      </c:catAx>
      <c:valAx>
        <c:axId val="97357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580256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16</xdr:row>
      <xdr:rowOff>0</xdr:rowOff>
    </xdr:from>
    <xdr:to>
      <xdr:col>13</xdr:col>
      <xdr:colOff>19051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B631D-FD6B-4EBB-BE8A-5F6B242AA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16</xdr:row>
      <xdr:rowOff>0</xdr:rowOff>
    </xdr:from>
    <xdr:to>
      <xdr:col>12</xdr:col>
      <xdr:colOff>504826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AA0259-394C-443C-8023-682B3B15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3.726523263889" createdVersion="5" refreshedVersion="7" minRefreshableVersion="3" recordCount="50" xr:uid="{18FA601A-FC28-4AAE-8DE6-E1F8FA1B5DAB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3">
        <s v="B1"/>
        <s v="B2"/>
        <s v="B3"/>
      </sharedItems>
    </cacheField>
    <cacheField name="Modalidade" numFmtId="0">
      <sharedItems count="1">
        <s v="Convencional"/>
      </sharedItems>
    </cacheField>
    <cacheField name="Classe" numFmtId="0">
      <sharedItems count="3">
        <s v="Residencial"/>
        <s v="Rural"/>
        <s v="Serviço público"/>
      </sharedItems>
    </cacheField>
    <cacheField name="Subclasse" numFmtId="0">
      <sharedItems count="7">
        <s v="Residencial"/>
        <s v="Residencial baixa renda – faixa 01"/>
        <s v="Residencial baixa renda – faixa 02"/>
        <s v="Residencial baixa renda – faixa 03"/>
        <s v="Residencial baixa renda – faixa 04"/>
        <s v="Não se aplica"/>
        <s v="Água, esgoto e saneamento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0.06" maxValue="237.81800000000001"/>
    </cacheField>
    <cacheField name="TUSD_Eaj" numFmtId="40">
      <sharedItems containsSemiMixedTypes="0" containsString="0" containsNumber="1" minValue="0.06" maxValue="237.81800000000001"/>
    </cacheField>
    <cacheField name="TE_E" numFmtId="40">
      <sharedItems containsSemiMixedTypes="0" containsString="0" containsNumber="1" minValue="0.06" maxValue="237.81800000000001"/>
    </cacheField>
    <cacheField name="TE_Eaj" numFmtId="40">
      <sharedItems containsSemiMixedTypes="0" containsString="0" containsNumber="1" minValue="0.06" maxValue="237.81800000000001"/>
    </cacheField>
    <cacheField name="UC" numFmtId="40">
      <sharedItems containsSemiMixedTypes="0" containsString="0" containsNumber="1" containsInteger="1" minValue="0" maxValue="1033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4" maxValue="39"/>
    </cacheField>
    <cacheField name="CóD. AUX. TE R$/MWh" numFmtId="0">
      <sharedItems containsSemiMixedTypes="0" containsString="0" containsNumber="1" containsInteger="1" minValue="52" maxValue="80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55.3" maxValue="222.38"/>
    </cacheField>
    <cacheField name="TE (R$/MWh)" numFmtId="40">
      <sharedItems containsSemiMixedTypes="0" containsString="0" containsNumber="1" minValue="84.48" maxValue="241.37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69.691006969364707" maxValue="301.89936113340218"/>
    </cacheField>
    <cacheField name="TE (R$/MWh) NOVA" numFmtId="40">
      <sharedItems containsSemiMixedTypes="0" containsString="0" containsNumber="1" minValue="81.253149055307929" maxValue="232.15185444373697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0" maxValue="3446.4601500000003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0" maxValue="1984.4595499144705"/>
    </cacheField>
    <cacheField name="TIPO" numFmtId="0">
      <sharedItems containsBlank="1" count="4">
        <m/>
        <s v="SUBSIDIO BAIXA RENDA"/>
        <s v="SUBSIDIO RURAL"/>
        <s v="SUBSIDIO ÁGUA, ESGOTO E SANEAMENTO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8.663980902777" createdVersion="5" refreshedVersion="8" minRefreshableVersion="3" recordCount="169" xr:uid="{94BDAA5B-AF4E-4E87-A69A-F75EB785F5BC}">
  <cacheSource type="worksheet">
    <worksheetSource name="Efeito"/>
  </cacheSource>
  <cacheFields count="36">
    <cacheField name="TipoMercado" numFmtId="0">
      <sharedItems/>
    </cacheField>
    <cacheField name="Subgrupo" numFmtId="0">
      <sharedItems count="5">
        <s v="A4"/>
        <s v="B1"/>
        <s v="B2"/>
        <s v="B3"/>
        <s v="B4"/>
      </sharedItems>
    </cacheField>
    <cacheField name="Modalidade" numFmtId="0">
      <sharedItems count="3">
        <s v="Azul"/>
        <s v="Verde"/>
        <s v="Convencional"/>
      </sharedItems>
    </cacheField>
    <cacheField name="Classe" numFmtId="0">
      <sharedItems count="7">
        <s v="Industrial"/>
        <s v="Residencial"/>
        <s v="Rural"/>
        <s v="Comercial"/>
        <s v="Poder público"/>
        <s v="Serviço público"/>
        <s v="Iluminação pública"/>
      </sharedItems>
    </cacheField>
    <cacheField name="Subclasse" numFmtId="0">
      <sharedItems count="8">
        <s v="Não se aplica"/>
        <s v="Residencial"/>
        <s v="Residencial baixa renda – faixa 01"/>
        <s v="Residencial baixa renda – faixa 02"/>
        <s v="Residencial baixa renda – faixa 03"/>
        <s v="Residencial baixa renda – faixa 04"/>
        <s v="Água, esgoto e saneamento"/>
        <s v="Iluminação pública – B4b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3">
        <s v="Fora ponta"/>
        <s v="Ponta"/>
        <s v="Não se aplic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7052"/>
    </cacheField>
    <cacheField name="Daj" numFmtId="40">
      <sharedItems containsSemiMixedTypes="0" containsString="0" containsNumber="1" containsInteger="1" minValue="0" maxValue="7052"/>
    </cacheField>
    <cacheField name="TUSD_E" numFmtId="40">
      <sharedItems containsSemiMixedTypes="0" containsString="0" containsNumber="1" minValue="0" maxValue="3597.78"/>
    </cacheField>
    <cacheField name="TUSD_Eaj" numFmtId="40">
      <sharedItems containsSemiMixedTypes="0" containsString="0" containsNumber="1" minValue="0" maxValue="3597.78"/>
    </cacheField>
    <cacheField name="TE_E" numFmtId="40">
      <sharedItems containsSemiMixedTypes="0" containsString="0" containsNumber="1" minValue="0" maxValue="3597.78"/>
    </cacheField>
    <cacheField name="TE_Eaj" numFmtId="40">
      <sharedItems containsSemiMixedTypes="0" containsString="0" containsNumber="1" minValue="0" maxValue="3597.78"/>
    </cacheField>
    <cacheField name="UC" numFmtId="40">
      <sharedItems containsSemiMixedTypes="0" containsString="0" containsNumber="1" containsInteger="1" minValue="0" maxValue="1052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27"/>
    </cacheField>
    <cacheField name="CóD. AUX. TUSD R$/MWh" numFmtId="40">
      <sharedItems containsSemiMixedTypes="0" containsString="0" containsNumber="1" containsInteger="1" minValue="0" maxValue="50"/>
    </cacheField>
    <cacheField name="CóD. AUX. TE R$/MWh" numFmtId="40">
      <sharedItems containsSemiMixedTypes="0" containsString="0" containsNumber="1" containsInteger="1" minValue="0" maxValue="82"/>
    </cacheField>
    <cacheField name="TUSD (R$/kW)" numFmtId="40">
      <sharedItems containsSemiMixedTypes="0" containsString="0" containsNumber="1" minValue="0" maxValue="40.4"/>
    </cacheField>
    <cacheField name="TUSD (R$/MWh)" numFmtId="40">
      <sharedItems containsSemiMixedTypes="0" containsString="0" containsNumber="1" minValue="0" maxValue="1030.1600000000001"/>
    </cacheField>
    <cacheField name="TE (R$/MWh)" numFmtId="40">
      <sharedItems containsSemiMixedTypes="0" containsString="0" containsNumber="1" minValue="0" maxValue="241.37"/>
    </cacheField>
    <cacheField name="TUSD (R$/kW) NOVA" numFmtId="40">
      <sharedItems containsString="0" containsBlank="1" containsNumber="1" minValue="14.787548847709356" maxValue="40.932120366733692"/>
    </cacheField>
    <cacheField name="TUSD (R$/MWh) NOVA" numFmtId="40">
      <sharedItems containsString="0" containsBlank="1" containsNumber="1" minValue="62.769779853286586" maxValue="1077.8992061823467"/>
    </cacheField>
    <cacheField name="TE (R$/MWh) NOVA" numFmtId="40">
      <sharedItems containsString="0" containsBlank="1" containsNumber="1" minValue="83.968904654609645" maxValue="239.91115615602757"/>
    </cacheField>
    <cacheField name="RA0 ou RV - TUSD (kW)" numFmtId="40">
      <sharedItems containsSemiMixedTypes="0" containsString="0" containsNumber="1" minValue="0" maxValue="258883.19999999998"/>
    </cacheField>
    <cacheField name="RA0 ou RV - TUSD (MWh)" numFmtId="40">
      <sharedItems containsSemiMixedTypes="0" containsString="0" containsNumber="1" minValue="0" maxValue="208851.12900000002"/>
    </cacheField>
    <cacheField name="RA0 ou RV - TE (MWh)" numFmtId="40">
      <sharedItems containsSemiMixedTypes="0" containsString="0" containsNumber="1" minValue="0" maxValue="868396.15860000008"/>
    </cacheField>
    <cacheField name="RA1 ou RRD - TUSD (kW)" numFmtId="40">
      <sharedItems containsSemiMixedTypes="0" containsString="0" containsNumber="1" minValue="0" maxValue="262293.02731002949"/>
    </cacheField>
    <cacheField name="RA1 ou RRD - TUSD (MWh)" numFmtId="40">
      <sharedItems containsSemiMixedTypes="0" containsString="0" containsNumber="1" minValue="0" maxValue="335767.03585338447"/>
    </cacheField>
    <cacheField name="RA1 ou RRD - TE (MWh)" numFmtId="40">
      <sharedItems containsSemiMixedTypes="0" containsString="0" containsNumber="1" minValue="0" maxValue="863147.55939503293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egular"/>
    <x v="0"/>
    <x v="0"/>
    <x v="0"/>
    <x v="0"/>
    <x v="0"/>
    <x v="0"/>
    <x v="0"/>
    <x v="0"/>
    <n v="0"/>
    <n v="0"/>
    <n v="237.81800000000001"/>
    <n v="237.81800000000001"/>
    <n v="237.81800000000001"/>
    <n v="237.81800000000001"/>
    <n v="1033"/>
    <s v="CATIVO"/>
    <n v="0"/>
    <n v="0"/>
    <n v="17"/>
    <n v="52"/>
    <n v="0"/>
    <n v="222.38"/>
    <n v="241.37"/>
    <m/>
    <n v="301.89936113340218"/>
    <n v="232.15185444373697"/>
    <n v="0"/>
    <n v="0"/>
    <n v="0"/>
    <n v="0"/>
    <x v="0"/>
  </r>
  <r>
    <s v="Regular"/>
    <x v="0"/>
    <x v="0"/>
    <x v="0"/>
    <x v="1"/>
    <x v="0"/>
    <x v="0"/>
    <x v="0"/>
    <x v="0"/>
    <n v="0"/>
    <n v="0"/>
    <n v="0.06"/>
    <n v="0.06"/>
    <n v="0.06"/>
    <n v="0.06"/>
    <n v="0"/>
    <s v="CATIVO"/>
    <n v="0"/>
    <n v="0"/>
    <n v="4"/>
    <n v="54"/>
    <n v="0"/>
    <n v="55.3"/>
    <n v="84.48"/>
    <m/>
    <n v="69.691006969364707"/>
    <n v="81.253149055307929"/>
    <n v="0"/>
    <n v="15.574799999999998"/>
    <n v="0"/>
    <n v="16.819491671320666"/>
    <x v="1"/>
  </r>
  <r>
    <s v="Regular"/>
    <x v="0"/>
    <x v="0"/>
    <x v="0"/>
    <x v="1"/>
    <x v="0"/>
    <x v="0"/>
    <x v="0"/>
    <x v="1"/>
    <n v="0"/>
    <n v="0"/>
    <n v="0.189"/>
    <n v="0.189"/>
    <n v="0.189"/>
    <n v="0.189"/>
    <n v="1"/>
    <s v="CATIVO"/>
    <n v="0"/>
    <n v="0"/>
    <n v="4"/>
    <n v="54"/>
    <n v="0"/>
    <n v="55.3"/>
    <n v="84.48"/>
    <m/>
    <n v="69.691006969364707"/>
    <n v="81.253149055307929"/>
    <n v="0"/>
    <n v="49.06062"/>
    <n v="0"/>
    <n v="52.981398764660106"/>
    <x v="1"/>
  </r>
  <r>
    <s v="Regular"/>
    <x v="0"/>
    <x v="0"/>
    <x v="0"/>
    <x v="1"/>
    <x v="0"/>
    <x v="0"/>
    <x v="0"/>
    <x v="2"/>
    <n v="0"/>
    <n v="0"/>
    <n v="0.19400000000000001"/>
    <n v="0.19400000000000001"/>
    <n v="0.19400000000000001"/>
    <n v="0.19400000000000001"/>
    <n v="1"/>
    <s v="CATIVO"/>
    <n v="0"/>
    <n v="0"/>
    <n v="4"/>
    <n v="54"/>
    <n v="0"/>
    <n v="55.3"/>
    <n v="84.48"/>
    <m/>
    <n v="69.691006969364707"/>
    <n v="81.253149055307929"/>
    <n v="0"/>
    <n v="50.358519999999999"/>
    <n v="0"/>
    <n v="54.383023070603492"/>
    <x v="1"/>
  </r>
  <r>
    <s v="Regular"/>
    <x v="0"/>
    <x v="0"/>
    <x v="0"/>
    <x v="1"/>
    <x v="0"/>
    <x v="0"/>
    <x v="0"/>
    <x v="3"/>
    <n v="0"/>
    <n v="0"/>
    <n v="0.19400000000000001"/>
    <n v="0.19400000000000001"/>
    <n v="0.19400000000000001"/>
    <n v="0.19400000000000001"/>
    <n v="1"/>
    <s v="CATIVO"/>
    <n v="0"/>
    <n v="0"/>
    <n v="4"/>
    <n v="54"/>
    <n v="0"/>
    <n v="55.3"/>
    <n v="84.48"/>
    <m/>
    <n v="69.691006969364707"/>
    <n v="81.253149055307929"/>
    <n v="0"/>
    <n v="50.358519999999999"/>
    <n v="0"/>
    <n v="54.383023070603492"/>
    <x v="1"/>
  </r>
  <r>
    <s v="Regular"/>
    <x v="0"/>
    <x v="0"/>
    <x v="0"/>
    <x v="1"/>
    <x v="0"/>
    <x v="0"/>
    <x v="0"/>
    <x v="4"/>
    <n v="0"/>
    <n v="0"/>
    <n v="0.19600000000000001"/>
    <n v="0.19600000000000001"/>
    <n v="0.19600000000000001"/>
    <n v="0.19600000000000001"/>
    <n v="1"/>
    <s v="CATIVO"/>
    <n v="0"/>
    <n v="0"/>
    <n v="4"/>
    <n v="54"/>
    <n v="0"/>
    <n v="55.3"/>
    <n v="84.48"/>
    <m/>
    <n v="69.691006969364707"/>
    <n v="81.253149055307929"/>
    <n v="0"/>
    <n v="50.877679999999998"/>
    <n v="0"/>
    <n v="54.943672792980848"/>
    <x v="1"/>
  </r>
  <r>
    <s v="Regular"/>
    <x v="0"/>
    <x v="0"/>
    <x v="0"/>
    <x v="1"/>
    <x v="0"/>
    <x v="0"/>
    <x v="0"/>
    <x v="5"/>
    <n v="0"/>
    <n v="0"/>
    <n v="0.33700000000000002"/>
    <n v="0.33700000000000002"/>
    <n v="0.33700000000000002"/>
    <n v="0.33700000000000002"/>
    <n v="1"/>
    <s v="CATIVO"/>
    <n v="0"/>
    <n v="0"/>
    <n v="4"/>
    <n v="54"/>
    <n v="0"/>
    <n v="55.3"/>
    <n v="84.48"/>
    <m/>
    <n v="69.691006969364707"/>
    <n v="81.253149055307929"/>
    <n v="0"/>
    <n v="87.478459999999998"/>
    <n v="0"/>
    <n v="94.469478220584421"/>
    <x v="1"/>
  </r>
  <r>
    <s v="Regular"/>
    <x v="0"/>
    <x v="0"/>
    <x v="0"/>
    <x v="1"/>
    <x v="0"/>
    <x v="0"/>
    <x v="0"/>
    <x v="6"/>
    <n v="0"/>
    <n v="0"/>
    <n v="0.33"/>
    <n v="0.33"/>
    <n v="0.33"/>
    <n v="0.33"/>
    <n v="1"/>
    <s v="CATIVO"/>
    <n v="0"/>
    <n v="0"/>
    <n v="4"/>
    <n v="54"/>
    <n v="0"/>
    <n v="55.3"/>
    <n v="84.48"/>
    <m/>
    <n v="69.691006969364707"/>
    <n v="81.253149055307929"/>
    <n v="0"/>
    <n v="85.6614"/>
    <n v="0"/>
    <n v="92.507204192263686"/>
    <x v="1"/>
  </r>
  <r>
    <s v="Regular"/>
    <x v="0"/>
    <x v="0"/>
    <x v="0"/>
    <x v="1"/>
    <x v="0"/>
    <x v="0"/>
    <x v="0"/>
    <x v="7"/>
    <n v="0"/>
    <n v="0"/>
    <n v="0.33"/>
    <n v="0.33"/>
    <n v="0.33"/>
    <n v="0.33"/>
    <n v="1"/>
    <s v="CATIVO"/>
    <n v="0"/>
    <n v="0"/>
    <n v="4"/>
    <n v="54"/>
    <n v="0"/>
    <n v="55.3"/>
    <n v="84.48"/>
    <m/>
    <n v="69.691006969364707"/>
    <n v="81.253149055307929"/>
    <n v="0"/>
    <n v="85.6614"/>
    <n v="0"/>
    <n v="92.507204192263686"/>
    <x v="1"/>
  </r>
  <r>
    <s v="Regular"/>
    <x v="0"/>
    <x v="0"/>
    <x v="0"/>
    <x v="1"/>
    <x v="0"/>
    <x v="0"/>
    <x v="0"/>
    <x v="8"/>
    <n v="0"/>
    <n v="0"/>
    <n v="0.33"/>
    <n v="0.33"/>
    <n v="0.33"/>
    <n v="0.33"/>
    <n v="1"/>
    <s v="CATIVO"/>
    <n v="0"/>
    <n v="0"/>
    <n v="4"/>
    <n v="54"/>
    <n v="0"/>
    <n v="55.3"/>
    <n v="84.48"/>
    <m/>
    <n v="69.691006969364707"/>
    <n v="81.253149055307929"/>
    <n v="0"/>
    <n v="85.6614"/>
    <n v="0"/>
    <n v="92.507204192263686"/>
    <x v="1"/>
  </r>
  <r>
    <s v="Regular"/>
    <x v="0"/>
    <x v="0"/>
    <x v="0"/>
    <x v="1"/>
    <x v="0"/>
    <x v="0"/>
    <x v="0"/>
    <x v="9"/>
    <n v="0"/>
    <n v="0"/>
    <n v="0.33"/>
    <n v="0.33"/>
    <n v="0.33"/>
    <n v="0.33"/>
    <n v="1"/>
    <s v="CATIVO"/>
    <n v="0"/>
    <n v="0"/>
    <n v="4"/>
    <n v="54"/>
    <n v="0"/>
    <n v="55.3"/>
    <n v="84.48"/>
    <m/>
    <n v="69.691006969364707"/>
    <n v="81.253149055307929"/>
    <n v="0"/>
    <n v="85.6614"/>
    <n v="0"/>
    <n v="92.507204192263686"/>
    <x v="1"/>
  </r>
  <r>
    <s v="Regular"/>
    <x v="0"/>
    <x v="0"/>
    <x v="0"/>
    <x v="1"/>
    <x v="0"/>
    <x v="0"/>
    <x v="0"/>
    <x v="10"/>
    <n v="0"/>
    <n v="0"/>
    <n v="0.33"/>
    <n v="0.33"/>
    <n v="0.33"/>
    <n v="0.33"/>
    <n v="1"/>
    <s v="CATIVO"/>
    <n v="0"/>
    <n v="0"/>
    <n v="4"/>
    <n v="54"/>
    <n v="0"/>
    <n v="55.3"/>
    <n v="84.48"/>
    <m/>
    <n v="69.691006969364707"/>
    <n v="81.253149055307929"/>
    <n v="0"/>
    <n v="85.6614"/>
    <n v="0"/>
    <n v="92.507204192263686"/>
    <x v="1"/>
  </r>
  <r>
    <s v="Regular"/>
    <x v="0"/>
    <x v="0"/>
    <x v="0"/>
    <x v="1"/>
    <x v="0"/>
    <x v="0"/>
    <x v="0"/>
    <x v="11"/>
    <n v="0"/>
    <n v="0"/>
    <n v="0.185"/>
    <n v="0.185"/>
    <n v="0.185"/>
    <n v="0.185"/>
    <n v="1"/>
    <s v="CATIVO"/>
    <n v="0"/>
    <n v="0"/>
    <n v="4"/>
    <n v="54"/>
    <n v="0"/>
    <n v="55.3"/>
    <n v="84.48"/>
    <m/>
    <n v="69.691006969364707"/>
    <n v="81.253149055307929"/>
    <n v="0"/>
    <n v="48.022299999999994"/>
    <n v="0"/>
    <n v="51.860099319905395"/>
    <x v="1"/>
  </r>
  <r>
    <s v="Regular"/>
    <x v="0"/>
    <x v="0"/>
    <x v="0"/>
    <x v="2"/>
    <x v="0"/>
    <x v="0"/>
    <x v="0"/>
    <x v="0"/>
    <n v="0"/>
    <n v="0"/>
    <n v="8.5999999999999993E-2"/>
    <n v="8.5999999999999993E-2"/>
    <n v="8.5999999999999993E-2"/>
    <n v="8.5999999999999993E-2"/>
    <n v="1"/>
    <s v="CATIVO"/>
    <n v="0"/>
    <n v="0"/>
    <n v="26"/>
    <n v="64"/>
    <n v="0"/>
    <n v="94.79"/>
    <n v="144.82"/>
    <m/>
    <n v="119.47029766176807"/>
    <n v="139.29111266624219"/>
    <n v="0"/>
    <n v="13.738499999999998"/>
    <n v="0"/>
    <n v="14.835654192139252"/>
    <x v="1"/>
  </r>
  <r>
    <s v="Regular"/>
    <x v="0"/>
    <x v="0"/>
    <x v="0"/>
    <x v="2"/>
    <x v="0"/>
    <x v="0"/>
    <x v="0"/>
    <x v="1"/>
    <n v="0"/>
    <n v="0"/>
    <n v="0.44600000000000001"/>
    <n v="0.44600000000000001"/>
    <n v="0.44600000000000001"/>
    <n v="0.44600000000000001"/>
    <n v="1"/>
    <s v="CATIVO"/>
    <n v="0"/>
    <n v="0"/>
    <n v="26"/>
    <n v="64"/>
    <n v="0"/>
    <n v="94.79"/>
    <n v="144.82"/>
    <m/>
    <n v="119.47029766176807"/>
    <n v="139.29111266624219"/>
    <n v="0"/>
    <n v="71.248500000000007"/>
    <n v="0"/>
    <n v="76.938392670861703"/>
    <x v="1"/>
  </r>
  <r>
    <s v="Regular"/>
    <x v="0"/>
    <x v="0"/>
    <x v="0"/>
    <x v="2"/>
    <x v="0"/>
    <x v="0"/>
    <x v="0"/>
    <x v="2"/>
    <n v="0"/>
    <n v="0"/>
    <n v="0.36399999999999999"/>
    <n v="0.36399999999999999"/>
    <n v="0.36399999999999999"/>
    <n v="0.36399999999999999"/>
    <n v="1"/>
    <s v="CATIVO"/>
    <n v="0"/>
    <n v="0"/>
    <n v="26"/>
    <n v="64"/>
    <n v="0"/>
    <n v="94.79"/>
    <n v="144.82"/>
    <m/>
    <n v="119.47029766176807"/>
    <n v="139.29111266624219"/>
    <n v="0"/>
    <n v="58.149000000000001"/>
    <n v="0"/>
    <n v="62.792768906263817"/>
    <x v="1"/>
  </r>
  <r>
    <s v="Regular"/>
    <x v="0"/>
    <x v="0"/>
    <x v="0"/>
    <x v="2"/>
    <x v="0"/>
    <x v="0"/>
    <x v="0"/>
    <x v="3"/>
    <n v="0"/>
    <n v="0"/>
    <n v="0.32400000000000001"/>
    <n v="0.32400000000000001"/>
    <n v="0.32400000000000001"/>
    <n v="0.32400000000000001"/>
    <n v="1"/>
    <s v="CATIVO"/>
    <n v="0"/>
    <n v="0"/>
    <n v="26"/>
    <n v="64"/>
    <n v="0"/>
    <n v="94.79"/>
    <n v="144.82"/>
    <m/>
    <n v="119.47029766176807"/>
    <n v="139.29111266624219"/>
    <n v="0"/>
    <n v="51.759"/>
    <n v="0"/>
    <n v="55.892464630850213"/>
    <x v="1"/>
  </r>
  <r>
    <s v="Regular"/>
    <x v="0"/>
    <x v="0"/>
    <x v="0"/>
    <x v="2"/>
    <x v="0"/>
    <x v="0"/>
    <x v="0"/>
    <x v="4"/>
    <n v="0"/>
    <n v="0"/>
    <n v="0.49199999999999999"/>
    <n v="0.49199999999999999"/>
    <n v="0.49199999999999999"/>
    <n v="0.49199999999999999"/>
    <n v="1"/>
    <s v="CATIVO"/>
    <n v="0"/>
    <n v="0"/>
    <n v="26"/>
    <n v="64"/>
    <n v="0"/>
    <n v="94.79"/>
    <n v="144.82"/>
    <m/>
    <n v="119.47029766176807"/>
    <n v="139.29111266624219"/>
    <n v="0"/>
    <n v="78.596999999999994"/>
    <n v="0"/>
    <n v="84.873742587587358"/>
    <x v="1"/>
  </r>
  <r>
    <s v="Regular"/>
    <x v="0"/>
    <x v="0"/>
    <x v="0"/>
    <x v="2"/>
    <x v="0"/>
    <x v="0"/>
    <x v="0"/>
    <x v="5"/>
    <n v="0"/>
    <n v="0"/>
    <n v="0.56599999999999995"/>
    <n v="0.56599999999999995"/>
    <n v="0.56599999999999995"/>
    <n v="0.56599999999999995"/>
    <n v="2"/>
    <s v="CATIVO"/>
    <n v="0"/>
    <n v="0"/>
    <n v="26"/>
    <n v="64"/>
    <n v="0"/>
    <n v="94.79"/>
    <n v="144.82"/>
    <m/>
    <n v="119.47029766176807"/>
    <n v="139.29111266624219"/>
    <n v="0"/>
    <n v="90.418499999999995"/>
    <n v="0"/>
    <n v="97.639305497102512"/>
    <x v="1"/>
  </r>
  <r>
    <s v="Regular"/>
    <x v="0"/>
    <x v="0"/>
    <x v="0"/>
    <x v="2"/>
    <x v="0"/>
    <x v="0"/>
    <x v="0"/>
    <x v="6"/>
    <n v="0"/>
    <n v="0"/>
    <n v="0.503"/>
    <n v="0.503"/>
    <n v="0.503"/>
    <n v="0.503"/>
    <n v="2"/>
    <s v="CATIVO"/>
    <n v="0"/>
    <n v="0"/>
    <n v="26"/>
    <n v="64"/>
    <n v="0"/>
    <n v="94.79"/>
    <n v="144.82"/>
    <m/>
    <n v="119.47029766176807"/>
    <n v="139.29111266624219"/>
    <n v="0"/>
    <n v="80.354250000000008"/>
    <n v="0"/>
    <n v="86.771326263326102"/>
    <x v="1"/>
  </r>
  <r>
    <s v="Regular"/>
    <x v="0"/>
    <x v="0"/>
    <x v="0"/>
    <x v="2"/>
    <x v="0"/>
    <x v="0"/>
    <x v="0"/>
    <x v="7"/>
    <n v="0"/>
    <n v="0"/>
    <n v="0.56599999999999995"/>
    <n v="0.56599999999999995"/>
    <n v="0.56599999999999995"/>
    <n v="0.56599999999999995"/>
    <n v="2"/>
    <s v="CATIVO"/>
    <n v="0"/>
    <n v="0"/>
    <n v="26"/>
    <n v="64"/>
    <n v="0"/>
    <n v="94.79"/>
    <n v="144.82"/>
    <m/>
    <n v="119.47029766176807"/>
    <n v="139.29111266624219"/>
    <n v="0"/>
    <n v="90.418499999999995"/>
    <n v="0"/>
    <n v="97.639305497102512"/>
    <x v="1"/>
  </r>
  <r>
    <s v="Regular"/>
    <x v="0"/>
    <x v="0"/>
    <x v="0"/>
    <x v="2"/>
    <x v="0"/>
    <x v="0"/>
    <x v="0"/>
    <x v="8"/>
    <n v="0"/>
    <n v="0"/>
    <n v="0.38900000000000001"/>
    <n v="0.38900000000000001"/>
    <n v="0.38900000000000001"/>
    <n v="0.38900000000000001"/>
    <n v="2"/>
    <s v="CATIVO"/>
    <n v="0"/>
    <n v="0"/>
    <n v="26"/>
    <n v="64"/>
    <n v="0"/>
    <n v="94.79"/>
    <n v="144.82"/>
    <m/>
    <n v="119.47029766176807"/>
    <n v="139.29111266624219"/>
    <n v="0"/>
    <n v="62.142749999999999"/>
    <n v="0"/>
    <n v="67.105459078397317"/>
    <x v="1"/>
  </r>
  <r>
    <s v="Regular"/>
    <x v="0"/>
    <x v="0"/>
    <x v="0"/>
    <x v="2"/>
    <x v="0"/>
    <x v="0"/>
    <x v="0"/>
    <x v="9"/>
    <n v="0"/>
    <n v="0"/>
    <n v="0.42399999999999999"/>
    <n v="0.42399999999999999"/>
    <n v="0.42399999999999999"/>
    <n v="0.42399999999999999"/>
    <n v="2"/>
    <s v="CATIVO"/>
    <n v="0"/>
    <n v="0"/>
    <n v="26"/>
    <n v="64"/>
    <n v="0"/>
    <n v="94.79"/>
    <n v="144.82"/>
    <m/>
    <n v="119.47029766176807"/>
    <n v="139.29111266624219"/>
    <n v="0"/>
    <n v="67.733999999999995"/>
    <n v="0"/>
    <n v="73.143225319384229"/>
    <x v="1"/>
  </r>
  <r>
    <s v="Regular"/>
    <x v="0"/>
    <x v="0"/>
    <x v="0"/>
    <x v="2"/>
    <x v="0"/>
    <x v="0"/>
    <x v="0"/>
    <x v="10"/>
    <n v="0"/>
    <n v="0"/>
    <n v="0.33300000000000002"/>
    <n v="0.33300000000000002"/>
    <n v="0.33300000000000002"/>
    <n v="0.33300000000000002"/>
    <n v="2"/>
    <s v="CATIVO"/>
    <n v="0"/>
    <n v="0"/>
    <n v="26"/>
    <n v="64"/>
    <n v="0"/>
    <n v="94.79"/>
    <n v="144.82"/>
    <m/>
    <n v="119.47029766176807"/>
    <n v="139.29111266624219"/>
    <n v="0"/>
    <n v="53.196750000000002"/>
    <n v="0"/>
    <n v="57.445033092818271"/>
    <x v="1"/>
  </r>
  <r>
    <s v="Regular"/>
    <x v="0"/>
    <x v="0"/>
    <x v="0"/>
    <x v="2"/>
    <x v="0"/>
    <x v="0"/>
    <x v="0"/>
    <x v="11"/>
    <n v="0"/>
    <n v="0"/>
    <n v="0.31900000000000001"/>
    <n v="0.31900000000000001"/>
    <n v="0.31900000000000001"/>
    <n v="0.31900000000000001"/>
    <n v="1"/>
    <s v="CATIVO"/>
    <n v="0"/>
    <n v="0"/>
    <n v="26"/>
    <n v="64"/>
    <n v="0"/>
    <n v="94.79"/>
    <n v="144.82"/>
    <m/>
    <n v="119.47029766176807"/>
    <n v="139.29111266624219"/>
    <n v="0"/>
    <n v="50.960250000000002"/>
    <n v="0"/>
    <n v="55.029926596423508"/>
    <x v="1"/>
  </r>
  <r>
    <s v="Regular"/>
    <x v="0"/>
    <x v="0"/>
    <x v="0"/>
    <x v="3"/>
    <x v="0"/>
    <x v="0"/>
    <x v="0"/>
    <x v="0"/>
    <n v="0"/>
    <n v="0"/>
    <n v="0.12"/>
    <n v="0.12"/>
    <n v="0.12"/>
    <n v="0.12"/>
    <n v="0"/>
    <s v="CATIVO"/>
    <n v="0"/>
    <n v="0"/>
    <n v="15"/>
    <n v="75"/>
    <n v="0"/>
    <n v="142.19"/>
    <n v="217.24"/>
    <m/>
    <n v="179.20544649265213"/>
    <n v="208.93666899936326"/>
    <n v="0"/>
    <n v="4.7916000000000007"/>
    <n v="0"/>
    <n v="5.1752282065602033"/>
    <x v="1"/>
  </r>
  <r>
    <s v="Regular"/>
    <x v="0"/>
    <x v="0"/>
    <x v="0"/>
    <x v="4"/>
    <x v="0"/>
    <x v="0"/>
    <x v="0"/>
    <x v="0"/>
    <n v="0"/>
    <n v="0"/>
    <n v="0.31900000000000001"/>
    <n v="0.31900000000000001"/>
    <n v="0.31900000000000001"/>
    <n v="0.31900000000000001"/>
    <n v="1"/>
    <s v="CATIVO"/>
    <n v="0"/>
    <n v="0"/>
    <n v="23"/>
    <n v="70"/>
    <n v="0"/>
    <n v="157.99"/>
    <n v="241.37"/>
    <m/>
    <n v="199.11716276961346"/>
    <n v="232.15185444373697"/>
    <n v="0"/>
    <n v="0"/>
    <n v="0"/>
    <n v="0"/>
    <x v="1"/>
  </r>
  <r>
    <s v="Regular"/>
    <x v="1"/>
    <x v="0"/>
    <x v="1"/>
    <x v="5"/>
    <x v="0"/>
    <x v="0"/>
    <x v="0"/>
    <x v="0"/>
    <n v="0"/>
    <n v="0"/>
    <n v="54.149000000000001"/>
    <n v="54.149000000000001"/>
    <n v="54.149000000000001"/>
    <n v="54.149000000000001"/>
    <n v="161"/>
    <s v="CATIVO"/>
    <n v="0"/>
    <n v="0"/>
    <n v="33"/>
    <n v="66"/>
    <n v="0"/>
    <n v="195.69"/>
    <n v="212.41"/>
    <m/>
    <n v="283.78539946539803"/>
    <n v="218.22274317711273"/>
    <n v="0"/>
    <n v="3013.3918500000004"/>
    <n v="0"/>
    <n v="1735.1003563371924"/>
    <x v="2"/>
  </r>
  <r>
    <s v="Regular"/>
    <x v="1"/>
    <x v="0"/>
    <x v="1"/>
    <x v="5"/>
    <x v="0"/>
    <x v="0"/>
    <x v="0"/>
    <x v="1"/>
    <n v="0"/>
    <n v="0"/>
    <n v="53.856999999999999"/>
    <n v="53.856999999999999"/>
    <n v="53.856999999999999"/>
    <n v="53.856999999999999"/>
    <n v="161"/>
    <s v="CATIVO"/>
    <n v="0"/>
    <n v="0"/>
    <n v="33"/>
    <n v="66"/>
    <n v="0"/>
    <n v="195.69"/>
    <n v="212.41"/>
    <m/>
    <n v="283.78539946539803"/>
    <n v="218.22274317711273"/>
    <n v="0"/>
    <n v="2997.1420500000004"/>
    <n v="0"/>
    <n v="1725.743779040281"/>
    <x v="2"/>
  </r>
  <r>
    <s v="Regular"/>
    <x v="1"/>
    <x v="0"/>
    <x v="1"/>
    <x v="5"/>
    <x v="0"/>
    <x v="0"/>
    <x v="0"/>
    <x v="2"/>
    <n v="0"/>
    <n v="0"/>
    <n v="54.054000000000002"/>
    <n v="54.054000000000002"/>
    <n v="54.054000000000002"/>
    <n v="54.054000000000002"/>
    <n v="170"/>
    <s v="CATIVO"/>
    <n v="0"/>
    <n v="0"/>
    <n v="33"/>
    <n v="66"/>
    <n v="0"/>
    <n v="195.69"/>
    <n v="212.41"/>
    <m/>
    <n v="283.78539946539803"/>
    <n v="218.22274317711273"/>
    <n v="0"/>
    <n v="3008.1051000000002"/>
    <n v="0"/>
    <n v="1732.0562644084027"/>
    <x v="2"/>
  </r>
  <r>
    <s v="Regular"/>
    <x v="1"/>
    <x v="0"/>
    <x v="1"/>
    <x v="5"/>
    <x v="0"/>
    <x v="0"/>
    <x v="0"/>
    <x v="3"/>
    <n v="0"/>
    <n v="0"/>
    <n v="55.401000000000003"/>
    <n v="55.401000000000003"/>
    <n v="55.401000000000003"/>
    <n v="55.401000000000003"/>
    <n v="168"/>
    <s v="CATIVO"/>
    <n v="0"/>
    <n v="0"/>
    <n v="33"/>
    <n v="66"/>
    <n v="0"/>
    <n v="195.69"/>
    <n v="212.41"/>
    <m/>
    <n v="283.78539946539803"/>
    <n v="218.22274317711273"/>
    <n v="0"/>
    <n v="3083.0656500000005"/>
    <n v="0"/>
    <n v="1775.2182836513473"/>
    <x v="2"/>
  </r>
  <r>
    <s v="Regular"/>
    <x v="1"/>
    <x v="0"/>
    <x v="1"/>
    <x v="5"/>
    <x v="0"/>
    <x v="0"/>
    <x v="0"/>
    <x v="4"/>
    <n v="0"/>
    <n v="0"/>
    <n v="61.930999999999997"/>
    <n v="61.930999999999997"/>
    <n v="61.930999999999997"/>
    <n v="61.930999999999997"/>
    <n v="168"/>
    <s v="CATIVO"/>
    <n v="0"/>
    <n v="0"/>
    <n v="33"/>
    <n v="66"/>
    <n v="0"/>
    <n v="195.69"/>
    <n v="212.41"/>
    <m/>
    <n v="283.78539946539803"/>
    <n v="218.22274317711273"/>
    <n v="0"/>
    <n v="3446.4601500000003"/>
    <n v="0"/>
    <n v="1984.4595499144705"/>
    <x v="2"/>
  </r>
  <r>
    <s v="Regular"/>
    <x v="1"/>
    <x v="0"/>
    <x v="1"/>
    <x v="5"/>
    <x v="0"/>
    <x v="0"/>
    <x v="0"/>
    <x v="5"/>
    <n v="0"/>
    <n v="0"/>
    <n v="61.552"/>
    <n v="61.552"/>
    <n v="61.552"/>
    <n v="61.552"/>
    <n v="168"/>
    <s v="CATIVO"/>
    <n v="0"/>
    <n v="0"/>
    <n v="33"/>
    <n v="66"/>
    <n v="0"/>
    <n v="195.69"/>
    <n v="212.41"/>
    <m/>
    <n v="283.78539946539803"/>
    <n v="218.22274317711273"/>
    <n v="0"/>
    <n v="3425.3688000000002"/>
    <n v="0"/>
    <n v="1972.3152252722464"/>
    <x v="2"/>
  </r>
  <r>
    <s v="Regular"/>
    <x v="1"/>
    <x v="0"/>
    <x v="1"/>
    <x v="5"/>
    <x v="0"/>
    <x v="0"/>
    <x v="0"/>
    <x v="6"/>
    <n v="0"/>
    <n v="0"/>
    <n v="56.143999999999998"/>
    <n v="56.143999999999998"/>
    <n v="56.143999999999998"/>
    <n v="56.143999999999998"/>
    <n v="159"/>
    <s v="CATIVO"/>
    <n v="0"/>
    <n v="0"/>
    <n v="33"/>
    <n v="66"/>
    <n v="0"/>
    <n v="195.69"/>
    <n v="212.41"/>
    <m/>
    <n v="283.78539946539803"/>
    <n v="218.22274317711273"/>
    <n v="0"/>
    <n v="3124.4136000000003"/>
    <n v="0"/>
    <n v="1799.026286841776"/>
    <x v="2"/>
  </r>
  <r>
    <s v="Regular"/>
    <x v="1"/>
    <x v="0"/>
    <x v="1"/>
    <x v="5"/>
    <x v="0"/>
    <x v="0"/>
    <x v="0"/>
    <x v="7"/>
    <n v="0"/>
    <n v="0"/>
    <n v="58.720999999999997"/>
    <n v="58.720999999999997"/>
    <n v="58.720999999999997"/>
    <n v="58.720999999999997"/>
    <n v="159"/>
    <s v="CATIVO"/>
    <n v="0"/>
    <n v="0"/>
    <n v="33"/>
    <n v="66"/>
    <n v="0"/>
    <n v="195.69"/>
    <n v="212.41"/>
    <m/>
    <n v="283.78539946539803"/>
    <n v="218.22274317711273"/>
    <n v="0"/>
    <n v="3267.8236500000003"/>
    <n v="0"/>
    <n v="1881.6012857943133"/>
    <x v="2"/>
  </r>
  <r>
    <s v="Regular"/>
    <x v="1"/>
    <x v="0"/>
    <x v="1"/>
    <x v="5"/>
    <x v="0"/>
    <x v="0"/>
    <x v="0"/>
    <x v="8"/>
    <n v="0"/>
    <n v="0"/>
    <n v="51.926000000000002"/>
    <n v="51.926000000000002"/>
    <n v="51.926000000000002"/>
    <n v="51.926000000000002"/>
    <n v="159"/>
    <s v="CATIVO"/>
    <n v="0"/>
    <n v="0"/>
    <n v="33"/>
    <n v="66"/>
    <n v="0"/>
    <n v="195.69"/>
    <n v="212.41"/>
    <m/>
    <n v="283.78539946539803"/>
    <n v="218.22274317711273"/>
    <n v="0"/>
    <n v="2889.6819000000005"/>
    <n v="0"/>
    <n v="1663.8686052035134"/>
    <x v="2"/>
  </r>
  <r>
    <s v="Regular"/>
    <x v="1"/>
    <x v="0"/>
    <x v="1"/>
    <x v="5"/>
    <x v="0"/>
    <x v="0"/>
    <x v="0"/>
    <x v="9"/>
    <n v="0"/>
    <n v="0"/>
    <n v="54.735999999999997"/>
    <n v="54.735999999999997"/>
    <n v="54.735999999999997"/>
    <n v="54.735999999999997"/>
    <n v="158"/>
    <s v="CATIVO"/>
    <n v="0"/>
    <n v="0"/>
    <n v="33"/>
    <n v="66"/>
    <n v="0"/>
    <n v="195.69"/>
    <n v="212.41"/>
    <m/>
    <n v="283.78539946539803"/>
    <n v="218.22274317711273"/>
    <n v="0"/>
    <n v="3046.0584000000003"/>
    <n v="0"/>
    <n v="1753.9096401498191"/>
    <x v="2"/>
  </r>
  <r>
    <s v="Regular"/>
    <x v="1"/>
    <x v="0"/>
    <x v="1"/>
    <x v="5"/>
    <x v="0"/>
    <x v="0"/>
    <x v="0"/>
    <x v="10"/>
    <n v="0"/>
    <n v="0"/>
    <n v="53.656999999999996"/>
    <n v="53.656999999999996"/>
    <n v="53.656999999999996"/>
    <n v="53.656999999999996"/>
    <n v="158"/>
    <s v="CATIVO"/>
    <n v="0"/>
    <n v="0"/>
    <n v="33"/>
    <n v="66"/>
    <n v="0"/>
    <n v="195.69"/>
    <n v="212.41"/>
    <m/>
    <n v="283.78539946539803"/>
    <n v="218.22274317711273"/>
    <n v="0"/>
    <n v="2986.0120500000003"/>
    <n v="0"/>
    <n v="1719.335164453355"/>
    <x v="2"/>
  </r>
  <r>
    <s v="Regular"/>
    <x v="1"/>
    <x v="0"/>
    <x v="1"/>
    <x v="5"/>
    <x v="0"/>
    <x v="0"/>
    <x v="0"/>
    <x v="11"/>
    <n v="0"/>
    <n v="0"/>
    <n v="52.451999999999998"/>
    <n v="52.451999999999998"/>
    <n v="52.451999999999998"/>
    <n v="52.451999999999998"/>
    <n v="158"/>
    <s v="CATIVO"/>
    <n v="0"/>
    <n v="0"/>
    <n v="33"/>
    <n v="66"/>
    <n v="0"/>
    <n v="195.69"/>
    <n v="212.41"/>
    <m/>
    <n v="283.78539946539803"/>
    <n v="218.22274317711273"/>
    <n v="0"/>
    <n v="2918.9538000000002"/>
    <n v="0"/>
    <n v="1680.723261567128"/>
    <x v="2"/>
  </r>
  <r>
    <s v="Regular"/>
    <x v="2"/>
    <x v="0"/>
    <x v="2"/>
    <x v="6"/>
    <x v="0"/>
    <x v="0"/>
    <x v="0"/>
    <x v="0"/>
    <n v="0"/>
    <n v="0"/>
    <n v="1.109"/>
    <n v="1.0424599999999999"/>
    <n v="1.109"/>
    <n v="1.0424599999999999"/>
    <n v="2"/>
    <s v="CATIVO"/>
    <n v="0"/>
    <n v="0"/>
    <n v="39"/>
    <n v="80"/>
    <n v="0"/>
    <n v="222.38"/>
    <n v="241.37"/>
    <m/>
    <n v="301.89936113340218"/>
    <n v="232.15185444373697"/>
    <n v="0"/>
    <n v="30.857925000000019"/>
    <n v="0"/>
    <n v="35.53576788450286"/>
    <x v="3"/>
  </r>
  <r>
    <s v="Regular"/>
    <x v="2"/>
    <x v="0"/>
    <x v="2"/>
    <x v="6"/>
    <x v="0"/>
    <x v="0"/>
    <x v="0"/>
    <x v="1"/>
    <n v="0"/>
    <n v="0"/>
    <n v="1.0189999999999999"/>
    <n v="0.95785999999999982"/>
    <n v="1.0189999999999999"/>
    <n v="0.95785999999999982"/>
    <n v="2"/>
    <s v="CATIVO"/>
    <n v="0"/>
    <n v="0"/>
    <n v="39"/>
    <n v="80"/>
    <n v="0"/>
    <n v="222.38"/>
    <n v="241.37"/>
    <m/>
    <n v="301.89936113340218"/>
    <n v="232.15185444373697"/>
    <n v="0"/>
    <n v="28.353675000000038"/>
    <n v="0"/>
    <n v="32.651891320386333"/>
    <x v="3"/>
  </r>
  <r>
    <s v="Regular"/>
    <x v="2"/>
    <x v="0"/>
    <x v="2"/>
    <x v="6"/>
    <x v="0"/>
    <x v="0"/>
    <x v="0"/>
    <x v="2"/>
    <n v="0"/>
    <n v="0"/>
    <n v="1.0860000000000001"/>
    <n v="1.02084"/>
    <n v="1.0860000000000001"/>
    <n v="1.02084"/>
    <n v="2"/>
    <s v="CATIVO"/>
    <n v="0"/>
    <n v="0"/>
    <n v="39"/>
    <n v="80"/>
    <n v="0"/>
    <n v="222.38"/>
    <n v="241.37"/>
    <m/>
    <n v="301.89936113340218"/>
    <n v="232.15185444373697"/>
    <n v="0"/>
    <n v="30.217950000000052"/>
    <n v="0"/>
    <n v="34.798777207006445"/>
    <x v="3"/>
  </r>
  <r>
    <s v="Regular"/>
    <x v="2"/>
    <x v="0"/>
    <x v="2"/>
    <x v="6"/>
    <x v="0"/>
    <x v="0"/>
    <x v="0"/>
    <x v="3"/>
    <n v="0"/>
    <n v="0"/>
    <n v="1.2649999999999999"/>
    <n v="1.1891"/>
    <n v="1.2649999999999999"/>
    <n v="1.1891"/>
    <n v="2"/>
    <s v="CATIVO"/>
    <n v="0"/>
    <n v="0"/>
    <n v="39"/>
    <n v="80"/>
    <n v="0"/>
    <n v="222.38"/>
    <n v="241.37"/>
    <m/>
    <n v="301.89936113340218"/>
    <n v="232.15185444373697"/>
    <n v="0"/>
    <n v="35.198624999999936"/>
    <n v="0"/>
    <n v="40.534487262304779"/>
    <x v="3"/>
  </r>
  <r>
    <s v="Regular"/>
    <x v="2"/>
    <x v="0"/>
    <x v="2"/>
    <x v="6"/>
    <x v="0"/>
    <x v="0"/>
    <x v="0"/>
    <x v="4"/>
    <n v="0"/>
    <n v="0"/>
    <n v="1.216"/>
    <n v="1.1430400000000001"/>
    <n v="1.216"/>
    <n v="1.1430400000000001"/>
    <n v="2"/>
    <s v="CATIVO"/>
    <n v="0"/>
    <n v="0"/>
    <n v="39"/>
    <n v="80"/>
    <n v="0"/>
    <n v="222.38"/>
    <n v="241.37"/>
    <m/>
    <n v="301.89936113340218"/>
    <n v="232.15185444373697"/>
    <n v="0"/>
    <n v="33.835199999999958"/>
    <n v="0"/>
    <n v="38.964376688508025"/>
    <x v="3"/>
  </r>
  <r>
    <s v="Regular"/>
    <x v="2"/>
    <x v="0"/>
    <x v="2"/>
    <x v="6"/>
    <x v="0"/>
    <x v="0"/>
    <x v="0"/>
    <x v="6"/>
    <n v="0"/>
    <n v="0"/>
    <n v="1.1000000000000001"/>
    <n v="1.034"/>
    <n v="1.1000000000000001"/>
    <n v="1.034"/>
    <n v="2"/>
    <s v="CATIVO"/>
    <n v="0"/>
    <n v="0"/>
    <n v="39"/>
    <n v="80"/>
    <n v="0"/>
    <n v="222.38"/>
    <n v="241.37"/>
    <m/>
    <n v="301.89936113340218"/>
    <n v="232.15185444373697"/>
    <n v="0"/>
    <n v="30.607500000000027"/>
    <n v="0"/>
    <n v="35.247380228091217"/>
    <x v="3"/>
  </r>
  <r>
    <s v="Regular"/>
    <x v="2"/>
    <x v="0"/>
    <x v="2"/>
    <x v="6"/>
    <x v="0"/>
    <x v="0"/>
    <x v="0"/>
    <x v="7"/>
    <n v="0"/>
    <n v="0"/>
    <n v="1.2410000000000001"/>
    <n v="1.1665399999999999"/>
    <n v="1.2410000000000001"/>
    <n v="1.1665399999999999"/>
    <n v="2"/>
    <s v="CATIVO"/>
    <n v="0"/>
    <n v="0"/>
    <n v="39"/>
    <n v="80"/>
    <n v="0"/>
    <n v="222.38"/>
    <n v="241.37"/>
    <m/>
    <n v="301.89936113340218"/>
    <n v="232.15185444373697"/>
    <n v="0"/>
    <n v="34.530825000000092"/>
    <n v="0"/>
    <n v="39.765453511873886"/>
    <x v="3"/>
  </r>
  <r>
    <s v="Regular"/>
    <x v="2"/>
    <x v="0"/>
    <x v="2"/>
    <x v="6"/>
    <x v="0"/>
    <x v="0"/>
    <x v="0"/>
    <x v="8"/>
    <n v="0"/>
    <n v="0"/>
    <n v="1.1399999999999999"/>
    <n v="1.0716000000000001"/>
    <n v="1.1399999999999999"/>
    <n v="1.0716000000000001"/>
    <n v="2"/>
    <s v="CATIVO"/>
    <n v="0"/>
    <n v="0"/>
    <n v="39"/>
    <n v="80"/>
    <n v="0"/>
    <n v="222.38"/>
    <n v="241.37"/>
    <m/>
    <n v="301.89936113340218"/>
    <n v="232.15185444373697"/>
    <n v="0"/>
    <n v="31.720499999999902"/>
    <n v="0"/>
    <n v="36.529103145476206"/>
    <x v="3"/>
  </r>
  <r>
    <s v="Regular"/>
    <x v="2"/>
    <x v="0"/>
    <x v="2"/>
    <x v="6"/>
    <x v="0"/>
    <x v="0"/>
    <x v="0"/>
    <x v="9"/>
    <n v="0"/>
    <n v="0"/>
    <n v="1.264"/>
    <n v="1.1881600000000001"/>
    <n v="1.264"/>
    <n v="1.1881600000000001"/>
    <n v="2"/>
    <s v="CATIVO"/>
    <n v="0"/>
    <n v="0"/>
    <n v="39"/>
    <n v="80"/>
    <n v="0"/>
    <n v="222.38"/>
    <n v="241.37"/>
    <m/>
    <n v="301.89936113340218"/>
    <n v="232.15185444373697"/>
    <n v="0"/>
    <n v="35.170799999999957"/>
    <n v="0"/>
    <n v="40.502444189370181"/>
    <x v="3"/>
  </r>
  <r>
    <s v="Regular"/>
    <x v="2"/>
    <x v="0"/>
    <x v="2"/>
    <x v="6"/>
    <x v="0"/>
    <x v="0"/>
    <x v="0"/>
    <x v="10"/>
    <n v="0"/>
    <n v="0"/>
    <n v="1.173"/>
    <n v="1.1026199999999999"/>
    <n v="1.173"/>
    <n v="1.1026199999999999"/>
    <n v="2"/>
    <s v="CATIVO"/>
    <n v="0"/>
    <n v="0"/>
    <n v="39"/>
    <n v="80"/>
    <n v="0"/>
    <n v="222.38"/>
    <n v="241.37"/>
    <m/>
    <n v="301.89936113340218"/>
    <n v="232.15185444373697"/>
    <n v="0"/>
    <n v="32.638725000000051"/>
    <n v="0"/>
    <n v="37.586524552319105"/>
    <x v="3"/>
  </r>
  <r>
    <s v="Regular"/>
    <x v="2"/>
    <x v="0"/>
    <x v="2"/>
    <x v="6"/>
    <x v="0"/>
    <x v="0"/>
    <x v="0"/>
    <x v="11"/>
    <n v="0"/>
    <n v="0"/>
    <n v="1.19"/>
    <n v="1.1186"/>
    <n v="1.19"/>
    <n v="1.1186"/>
    <n v="2"/>
    <s v="CATIVO"/>
    <n v="0"/>
    <n v="0"/>
    <n v="39"/>
    <n v="80"/>
    <n v="0"/>
    <n v="222.38"/>
    <n v="241.37"/>
    <m/>
    <n v="301.89936113340218"/>
    <n v="232.15185444373697"/>
    <n v="0"/>
    <n v="33.111749999999958"/>
    <n v="0"/>
    <n v="38.13125679220768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Regular"/>
    <x v="0"/>
    <x v="0"/>
    <x v="0"/>
    <x v="0"/>
    <x v="0"/>
    <x v="0"/>
    <x v="0"/>
    <x v="0"/>
    <n v="6522"/>
    <n v="6522"/>
    <n v="3170.7"/>
    <n v="3170.7"/>
    <n v="3170.7"/>
    <n v="3170.7"/>
    <n v="0"/>
    <x v="0"/>
    <n v="0"/>
    <n v="27"/>
    <n v="16"/>
    <n v="30"/>
    <n v="13.01"/>
    <n v="58.05"/>
    <n v="241.37"/>
    <n v="14.787548847709356"/>
    <n v="93.32617220991402"/>
    <n v="239.91115615602757"/>
    <n v="84851.22"/>
    <n v="184059.13499999998"/>
    <n v="765311.85899999994"/>
    <n v="96444.393584760415"/>
    <n v="295909.29422597436"/>
    <n v="760686.30282391654"/>
  </r>
  <r>
    <s v="Regular"/>
    <x v="0"/>
    <x v="0"/>
    <x v="0"/>
    <x v="0"/>
    <x v="0"/>
    <x v="0"/>
    <x v="0"/>
    <x v="1"/>
    <n v="6537"/>
    <n v="6537"/>
    <n v="3230.58"/>
    <n v="3230.58"/>
    <n v="3230.58"/>
    <n v="3230.58"/>
    <n v="0"/>
    <x v="0"/>
    <n v="0"/>
    <n v="27"/>
    <n v="16"/>
    <n v="30"/>
    <n v="13.01"/>
    <n v="58.05"/>
    <n v="241.37"/>
    <n v="14.787548847709356"/>
    <n v="93.32617220991402"/>
    <n v="239.91115615602757"/>
    <n v="85046.37"/>
    <n v="187535.16899999999"/>
    <n v="779765.09459999995"/>
    <n v="96666.206817476064"/>
    <n v="301497.66541790403"/>
    <n v="775052.18285453948"/>
  </r>
  <r>
    <s v="Regular"/>
    <x v="0"/>
    <x v="0"/>
    <x v="0"/>
    <x v="0"/>
    <x v="0"/>
    <x v="0"/>
    <x v="0"/>
    <x v="2"/>
    <n v="6638"/>
    <n v="6638"/>
    <n v="3509.4"/>
    <n v="3509.4"/>
    <n v="3509.4"/>
    <n v="3509.4"/>
    <n v="0"/>
    <x v="0"/>
    <n v="0"/>
    <n v="27"/>
    <n v="16"/>
    <n v="30"/>
    <n v="13.01"/>
    <n v="58.05"/>
    <n v="241.37"/>
    <n v="14.787548847709356"/>
    <n v="93.32617220991402"/>
    <n v="239.91115615602757"/>
    <n v="86360.38"/>
    <n v="203720.66999999998"/>
    <n v="847063.87800000003"/>
    <n v="98159.749251094705"/>
    <n v="327518.86875347228"/>
    <n v="841944.21141396323"/>
  </r>
  <r>
    <s v="Regular"/>
    <x v="0"/>
    <x v="0"/>
    <x v="0"/>
    <x v="0"/>
    <x v="0"/>
    <x v="0"/>
    <x v="0"/>
    <x v="3"/>
    <n v="6702"/>
    <n v="6702"/>
    <n v="3278.04"/>
    <n v="3278.04"/>
    <n v="3278.04"/>
    <n v="3278.04"/>
    <n v="0"/>
    <x v="0"/>
    <n v="0"/>
    <n v="27"/>
    <n v="16"/>
    <n v="30"/>
    <n v="13.01"/>
    <n v="58.05"/>
    <n v="241.37"/>
    <n v="14.787548847709356"/>
    <n v="93.32617220991402"/>
    <n v="239.91115615602757"/>
    <n v="87193.02"/>
    <n v="190290.22199999998"/>
    <n v="791220.5148"/>
    <n v="99106.152377348102"/>
    <n v="305926.92555098655"/>
    <n v="786438.36632570461"/>
  </r>
  <r>
    <s v="Regular"/>
    <x v="0"/>
    <x v="0"/>
    <x v="0"/>
    <x v="0"/>
    <x v="0"/>
    <x v="0"/>
    <x v="0"/>
    <x v="4"/>
    <n v="7052"/>
    <n v="7052"/>
    <n v="2229"/>
    <n v="2229"/>
    <n v="2229"/>
    <n v="2229"/>
    <n v="0"/>
    <x v="0"/>
    <n v="0"/>
    <n v="27"/>
    <n v="16"/>
    <n v="30"/>
    <n v="13.01"/>
    <n v="58.05"/>
    <n v="241.37"/>
    <n v="14.787548847709356"/>
    <n v="93.32617220991402"/>
    <n v="239.91115615602757"/>
    <n v="91746.52"/>
    <n v="129393.45"/>
    <n v="538013.73"/>
    <n v="104281.79447404639"/>
    <n v="208024.03785589835"/>
    <n v="534761.96707178548"/>
  </r>
  <r>
    <s v="Regular"/>
    <x v="0"/>
    <x v="0"/>
    <x v="0"/>
    <x v="0"/>
    <x v="0"/>
    <x v="0"/>
    <x v="0"/>
    <x v="5"/>
    <n v="6867"/>
    <n v="6867"/>
    <n v="2981.7"/>
    <n v="2981.7"/>
    <n v="2981.7"/>
    <n v="2981.7"/>
    <n v="0"/>
    <x v="0"/>
    <n v="0"/>
    <n v="27"/>
    <n v="16"/>
    <n v="30"/>
    <n v="13.01"/>
    <n v="58.05"/>
    <n v="241.37"/>
    <n v="14.787548847709356"/>
    <n v="93.32617220991402"/>
    <n v="239.91115615602757"/>
    <n v="89339.67"/>
    <n v="173087.68499999997"/>
    <n v="719692.929"/>
    <n v="101546.09793722015"/>
    <n v="278270.64767830062"/>
    <n v="715343.09431042732"/>
  </r>
  <r>
    <s v="Regular"/>
    <x v="0"/>
    <x v="0"/>
    <x v="0"/>
    <x v="0"/>
    <x v="0"/>
    <x v="0"/>
    <x v="0"/>
    <x v="6"/>
    <n v="6755"/>
    <n v="6755"/>
    <n v="3222.9"/>
    <n v="3222.9"/>
    <n v="3222.9"/>
    <n v="3222.9"/>
    <n v="0"/>
    <x v="0"/>
    <n v="0"/>
    <n v="27"/>
    <n v="16"/>
    <n v="30"/>
    <n v="13.01"/>
    <n v="58.05"/>
    <n v="241.37"/>
    <n v="14.787548847709356"/>
    <n v="93.32617220991402"/>
    <n v="239.91115615602757"/>
    <n v="87882.55"/>
    <n v="187089.345"/>
    <n v="777911.37300000002"/>
    <n v="99889.892466276695"/>
    <n v="300780.9204153319"/>
    <n v="773209.66517526133"/>
  </r>
  <r>
    <s v="Regular"/>
    <x v="0"/>
    <x v="0"/>
    <x v="0"/>
    <x v="0"/>
    <x v="0"/>
    <x v="0"/>
    <x v="0"/>
    <x v="7"/>
    <n v="6776"/>
    <n v="6776"/>
    <n v="3073.98"/>
    <n v="3073.98"/>
    <n v="3073.98"/>
    <n v="3073.98"/>
    <n v="0"/>
    <x v="0"/>
    <n v="0"/>
    <n v="27"/>
    <n v="16"/>
    <n v="30"/>
    <n v="13.01"/>
    <n v="58.05"/>
    <n v="241.37"/>
    <n v="14.787548847709356"/>
    <n v="93.32617220991402"/>
    <n v="239.91115615602757"/>
    <n v="88155.76"/>
    <n v="178444.53899999999"/>
    <n v="741966.55260000005"/>
    <n v="100200.4309920786"/>
    <n v="286882.78684983152"/>
    <n v="737482.0958005056"/>
  </r>
  <r>
    <s v="Regular"/>
    <x v="0"/>
    <x v="0"/>
    <x v="0"/>
    <x v="0"/>
    <x v="0"/>
    <x v="0"/>
    <x v="0"/>
    <x v="8"/>
    <n v="6813"/>
    <n v="6813"/>
    <n v="3038.16"/>
    <n v="3038.16"/>
    <n v="3038.16"/>
    <n v="3038.16"/>
    <n v="0"/>
    <x v="0"/>
    <n v="0"/>
    <n v="27"/>
    <n v="16"/>
    <n v="30"/>
    <n v="13.01"/>
    <n v="58.05"/>
    <n v="241.37"/>
    <n v="14.787548847709356"/>
    <n v="93.32617220991402"/>
    <n v="239.91115615602757"/>
    <n v="88637.13"/>
    <n v="176365.18799999999"/>
    <n v="733320.67920000001"/>
    <n v="100747.57029944385"/>
    <n v="283539.84336127236"/>
    <n v="728888.47818699665"/>
  </r>
  <r>
    <s v="Regular"/>
    <x v="0"/>
    <x v="0"/>
    <x v="0"/>
    <x v="0"/>
    <x v="0"/>
    <x v="0"/>
    <x v="0"/>
    <x v="9"/>
    <n v="6851"/>
    <n v="6851"/>
    <n v="3159.18"/>
    <n v="3159.18"/>
    <n v="3159.18"/>
    <n v="3159.18"/>
    <n v="0"/>
    <x v="0"/>
    <n v="0"/>
    <n v="27"/>
    <n v="16"/>
    <n v="30"/>
    <n v="13.01"/>
    <n v="58.05"/>
    <n v="241.37"/>
    <n v="14.787548847709356"/>
    <n v="93.32617220991402"/>
    <n v="239.91115615602757"/>
    <n v="89131.51"/>
    <n v="183390.39899999998"/>
    <n v="762531.27659999998"/>
    <n v="101309.49715565681"/>
    <n v="294834.17672211619"/>
    <n v="757922.52630499913"/>
  </r>
  <r>
    <s v="Regular"/>
    <x v="0"/>
    <x v="0"/>
    <x v="0"/>
    <x v="0"/>
    <x v="0"/>
    <x v="0"/>
    <x v="0"/>
    <x v="10"/>
    <n v="6950"/>
    <n v="6950"/>
    <n v="3186.06"/>
    <n v="3186.06"/>
    <n v="3186.06"/>
    <n v="3186.06"/>
    <n v="0"/>
    <x v="0"/>
    <n v="0"/>
    <n v="27"/>
    <n v="16"/>
    <n v="30"/>
    <n v="13.01"/>
    <n v="58.05"/>
    <n v="241.37"/>
    <n v="14.787548847709356"/>
    <n v="93.32617220991402"/>
    <n v="239.91115615602757"/>
    <n v="90419.5"/>
    <n v="184950.783"/>
    <n v="769019.30220000003"/>
    <n v="102773.46449158003"/>
    <n v="297342.78423111868"/>
    <n v="764371.33818247321"/>
  </r>
  <r>
    <s v="Regular"/>
    <x v="0"/>
    <x v="0"/>
    <x v="0"/>
    <x v="0"/>
    <x v="0"/>
    <x v="0"/>
    <x v="0"/>
    <x v="11"/>
    <n v="6883"/>
    <n v="6883"/>
    <n v="3597.78"/>
    <n v="3597.78"/>
    <n v="3597.78"/>
    <n v="3597.78"/>
    <n v="0"/>
    <x v="0"/>
    <n v="0"/>
    <n v="27"/>
    <n v="16"/>
    <n v="30"/>
    <n v="13.01"/>
    <n v="58.05"/>
    <n v="241.37"/>
    <n v="14.787548847709356"/>
    <n v="93.32617220991402"/>
    <n v="239.91115615602757"/>
    <n v="89547.83"/>
    <n v="208851.12900000002"/>
    <n v="868396.15860000008"/>
    <n v="101782.6987187835"/>
    <n v="335767.03585338447"/>
    <n v="863147.55939503293"/>
  </r>
  <r>
    <s v="Regular"/>
    <x v="0"/>
    <x v="0"/>
    <x v="0"/>
    <x v="0"/>
    <x v="0"/>
    <x v="0"/>
    <x v="1"/>
    <x v="0"/>
    <n v="6066"/>
    <n v="6066"/>
    <n v="294.54000000000002"/>
    <n v="294.54000000000002"/>
    <n v="294.54000000000002"/>
    <n v="294.54000000000002"/>
    <n v="0"/>
    <x v="0"/>
    <n v="0"/>
    <n v="7"/>
    <n v="16"/>
    <n v="45"/>
    <n v="40.4"/>
    <n v="58.05"/>
    <n v="241.37"/>
    <n v="40.932120366733692"/>
    <n v="93.32617220991402"/>
    <n v="239.91115615602757"/>
    <n v="245066.4"/>
    <n v="17098.046999999999"/>
    <n v="71093.1198"/>
    <n v="248294.24214460657"/>
    <n v="27488.290762708079"/>
    <n v="70663.431934196371"/>
  </r>
  <r>
    <s v="Regular"/>
    <x v="0"/>
    <x v="0"/>
    <x v="0"/>
    <x v="0"/>
    <x v="0"/>
    <x v="0"/>
    <x v="1"/>
    <x v="1"/>
    <n v="5996"/>
    <n v="5996"/>
    <n v="310.86"/>
    <n v="310.86"/>
    <n v="310.86"/>
    <n v="310.86"/>
    <n v="0"/>
    <x v="0"/>
    <n v="0"/>
    <n v="7"/>
    <n v="16"/>
    <n v="45"/>
    <n v="40.4"/>
    <n v="58.05"/>
    <n v="241.37"/>
    <n v="40.932120366733692"/>
    <n v="93.32617220991402"/>
    <n v="239.91115615602757"/>
    <n v="242238.4"/>
    <n v="18045.422999999999"/>
    <n v="75032.278200000001"/>
    <n v="245428.99371893521"/>
    <n v="29011.373893173874"/>
    <n v="74578.782002662731"/>
  </r>
  <r>
    <s v="Regular"/>
    <x v="0"/>
    <x v="0"/>
    <x v="0"/>
    <x v="0"/>
    <x v="0"/>
    <x v="0"/>
    <x v="1"/>
    <x v="2"/>
    <n v="6103"/>
    <n v="6103"/>
    <n v="307.8"/>
    <n v="307.8"/>
    <n v="307.8"/>
    <n v="307.8"/>
    <n v="0"/>
    <x v="0"/>
    <n v="0"/>
    <n v="7"/>
    <n v="16"/>
    <n v="45"/>
    <n v="40.4"/>
    <n v="58.05"/>
    <n v="241.37"/>
    <n v="40.932120366733692"/>
    <n v="93.32617220991402"/>
    <n v="239.91115615602757"/>
    <n v="246561.19999999998"/>
    <n v="17867.79"/>
    <n v="74293.686000000002"/>
    <n v="249808.73059817572"/>
    <n v="28725.795806211536"/>
    <n v="73844.65386482529"/>
  </r>
  <r>
    <s v="Regular"/>
    <x v="0"/>
    <x v="0"/>
    <x v="0"/>
    <x v="0"/>
    <x v="0"/>
    <x v="0"/>
    <x v="1"/>
    <x v="3"/>
    <n v="6058"/>
    <n v="6058"/>
    <n v="314.27999999999997"/>
    <n v="314.27999999999997"/>
    <n v="314.27999999999997"/>
    <n v="314.27999999999997"/>
    <n v="0"/>
    <x v="0"/>
    <n v="0"/>
    <n v="7"/>
    <n v="16"/>
    <n v="45"/>
    <n v="40.4"/>
    <n v="58.05"/>
    <n v="241.37"/>
    <n v="40.932120366733692"/>
    <n v="93.32617220991402"/>
    <n v="239.91115615602757"/>
    <n v="244743.19999999998"/>
    <n v="18243.953999999998"/>
    <n v="75857.763599999991"/>
    <n v="247966.78518167269"/>
    <n v="29330.549402131775"/>
    <n v="75399.278156716333"/>
  </r>
  <r>
    <s v="Regular"/>
    <x v="0"/>
    <x v="0"/>
    <x v="0"/>
    <x v="0"/>
    <x v="0"/>
    <x v="0"/>
    <x v="1"/>
    <x v="4"/>
    <n v="6304"/>
    <n v="6304"/>
    <n v="207.36"/>
    <n v="207.36"/>
    <n v="207.36"/>
    <n v="207.36"/>
    <n v="0"/>
    <x v="0"/>
    <n v="0"/>
    <n v="7"/>
    <n v="16"/>
    <n v="45"/>
    <n v="40.4"/>
    <n v="58.05"/>
    <n v="241.37"/>
    <n v="40.932120366733692"/>
    <n v="93.32617220991402"/>
    <n v="239.91115615602757"/>
    <n v="254681.59999999998"/>
    <n v="12037.248"/>
    <n v="50050.483200000002"/>
    <n v="258036.08679188919"/>
    <n v="19352.115069447773"/>
    <n v="49747.977340513884"/>
  </r>
  <r>
    <s v="Regular"/>
    <x v="0"/>
    <x v="0"/>
    <x v="0"/>
    <x v="0"/>
    <x v="0"/>
    <x v="0"/>
    <x v="1"/>
    <x v="5"/>
    <n v="6285"/>
    <n v="6285"/>
    <n v="293.22000000000003"/>
    <n v="293.22000000000003"/>
    <n v="293.22000000000003"/>
    <n v="293.22000000000003"/>
    <n v="0"/>
    <x v="0"/>
    <n v="0"/>
    <n v="7"/>
    <n v="16"/>
    <n v="45"/>
    <n v="40.4"/>
    <n v="58.05"/>
    <n v="241.37"/>
    <n v="40.932120366733692"/>
    <n v="93.32617220991402"/>
    <n v="239.91115615602757"/>
    <n v="253914"/>
    <n v="17021.421000000002"/>
    <n v="70774.511400000003"/>
    <n v="257258.37650492124"/>
    <n v="27365.10021539099"/>
    <n v="70346.749208070411"/>
  </r>
  <r>
    <s v="Regular"/>
    <x v="0"/>
    <x v="0"/>
    <x v="0"/>
    <x v="0"/>
    <x v="0"/>
    <x v="0"/>
    <x v="1"/>
    <x v="6"/>
    <n v="6258"/>
    <n v="6258"/>
    <n v="329.34"/>
    <n v="329.34"/>
    <n v="329.34"/>
    <n v="329.34"/>
    <n v="0"/>
    <x v="0"/>
    <n v="0"/>
    <n v="7"/>
    <n v="16"/>
    <n v="45"/>
    <n v="40.4"/>
    <n v="58.05"/>
    <n v="241.37"/>
    <n v="40.932120366733692"/>
    <n v="93.32617220991402"/>
    <n v="239.91115615602757"/>
    <n v="252823.19999999998"/>
    <n v="19118.186999999998"/>
    <n v="79492.795799999993"/>
    <n v="256153.20925501944"/>
    <n v="30736.041555613079"/>
    <n v="79012.340168426119"/>
  </r>
  <r>
    <s v="Regular"/>
    <x v="0"/>
    <x v="0"/>
    <x v="0"/>
    <x v="0"/>
    <x v="0"/>
    <x v="0"/>
    <x v="1"/>
    <x v="7"/>
    <n v="6215"/>
    <n v="6215"/>
    <n v="288.95999999999998"/>
    <n v="288.95999999999998"/>
    <n v="288.95999999999998"/>
    <n v="288.95999999999998"/>
    <n v="0"/>
    <x v="0"/>
    <n v="0"/>
    <n v="7"/>
    <n v="16"/>
    <n v="45"/>
    <n v="40.4"/>
    <n v="58.05"/>
    <n v="241.37"/>
    <n v="40.932120366733692"/>
    <n v="93.32617220991402"/>
    <n v="239.91115615602757"/>
    <n v="251086"/>
    <n v="16774.127999999997"/>
    <n v="69746.275199999989"/>
    <n v="254393.1280792499"/>
    <n v="26967.530721776755"/>
    <n v="69324.727682845725"/>
  </r>
  <r>
    <s v="Regular"/>
    <x v="0"/>
    <x v="0"/>
    <x v="0"/>
    <x v="0"/>
    <x v="0"/>
    <x v="0"/>
    <x v="1"/>
    <x v="8"/>
    <n v="6270"/>
    <n v="6270"/>
    <n v="294.83999999999997"/>
    <n v="294.83999999999997"/>
    <n v="294.83999999999997"/>
    <n v="294.83999999999997"/>
    <n v="0"/>
    <x v="0"/>
    <n v="0"/>
    <n v="7"/>
    <n v="16"/>
    <n v="45"/>
    <n v="40.4"/>
    <n v="58.05"/>
    <n v="241.37"/>
    <n v="40.932120366733692"/>
    <n v="93.32617220991402"/>
    <n v="239.91115615602757"/>
    <n v="253308"/>
    <n v="17115.461999999996"/>
    <n v="71165.530799999993"/>
    <n v="256644.39469942026"/>
    <n v="27516.288614371046"/>
    <n v="70735.40528104316"/>
  </r>
  <r>
    <s v="Regular"/>
    <x v="0"/>
    <x v="0"/>
    <x v="0"/>
    <x v="0"/>
    <x v="0"/>
    <x v="0"/>
    <x v="1"/>
    <x v="9"/>
    <n v="6256"/>
    <n v="6256"/>
    <n v="339.84"/>
    <n v="339.84"/>
    <n v="339.84"/>
    <n v="339.84"/>
    <n v="0"/>
    <x v="0"/>
    <n v="0"/>
    <n v="7"/>
    <n v="16"/>
    <n v="45"/>
    <n v="40.4"/>
    <n v="58.05"/>
    <n v="241.37"/>
    <n v="40.932120366733692"/>
    <n v="93.32617220991402"/>
    <n v="239.91115615602757"/>
    <n v="252742.39999999999"/>
    <n v="19727.711999999996"/>
    <n v="82027.180800000002"/>
    <n v="256071.34501428597"/>
    <n v="31715.966363817177"/>
    <n v="81531.407308064401"/>
  </r>
  <r>
    <s v="Regular"/>
    <x v="0"/>
    <x v="0"/>
    <x v="0"/>
    <x v="0"/>
    <x v="0"/>
    <x v="0"/>
    <x v="1"/>
    <x v="10"/>
    <n v="6408"/>
    <n v="6408"/>
    <n v="330.72"/>
    <n v="330.72"/>
    <n v="330.72"/>
    <n v="330.72"/>
    <n v="0"/>
    <x v="0"/>
    <n v="0"/>
    <n v="7"/>
    <n v="16"/>
    <n v="45"/>
    <n v="40.4"/>
    <n v="58.05"/>
    <n v="241.37"/>
    <n v="40.932120366733692"/>
    <n v="93.32617220991402"/>
    <n v="239.91115615602757"/>
    <n v="258883.19999999998"/>
    <n v="19198.296000000002"/>
    <n v="79825.886400000003"/>
    <n v="262293.02731002949"/>
    <n v="30864.831673262768"/>
    <n v="79343.417563921452"/>
  </r>
  <r>
    <s v="Regular"/>
    <x v="0"/>
    <x v="0"/>
    <x v="0"/>
    <x v="0"/>
    <x v="0"/>
    <x v="0"/>
    <x v="1"/>
    <x v="11"/>
    <n v="6396"/>
    <n v="6396"/>
    <n v="342.12"/>
    <n v="342.12"/>
    <n v="342.12"/>
    <n v="342.12"/>
    <n v="0"/>
    <x v="0"/>
    <n v="0"/>
    <n v="7"/>
    <n v="16"/>
    <n v="45"/>
    <n v="40.4"/>
    <n v="58.05"/>
    <n v="241.37"/>
    <n v="40.932120366733692"/>
    <n v="93.32617220991402"/>
    <n v="239.91115615602757"/>
    <n v="258398.4"/>
    <n v="19860.065999999999"/>
    <n v="82577.504400000005"/>
    <n v="261801.8418656287"/>
    <n v="31928.750036455785"/>
    <n v="82078.40474410016"/>
  </r>
  <r>
    <s v="Regular"/>
    <x v="0"/>
    <x v="1"/>
    <x v="0"/>
    <x v="0"/>
    <x v="0"/>
    <x v="0"/>
    <x v="0"/>
    <x v="0"/>
    <n v="0"/>
    <n v="0"/>
    <n v="793.62900000000002"/>
    <n v="793.62900000000002"/>
    <n v="793.62900000000002"/>
    <n v="793.62900000000002"/>
    <n v="0"/>
    <x v="0"/>
    <n v="0"/>
    <n v="0"/>
    <n v="21"/>
    <n v="30"/>
    <n v="0"/>
    <n v="58.05"/>
    <n v="241.37"/>
    <m/>
    <n v="93.32617220991402"/>
    <n v="239.91115615602757"/>
    <n v="0"/>
    <n v="46070.16345"/>
    <n v="191558.23173"/>
    <n v="0"/>
    <n v="74066.356724781857"/>
    <n v="190400.450948952"/>
  </r>
  <r>
    <s v="Regular"/>
    <x v="0"/>
    <x v="1"/>
    <x v="0"/>
    <x v="0"/>
    <x v="0"/>
    <x v="0"/>
    <x v="0"/>
    <x v="1"/>
    <n v="0"/>
    <n v="0"/>
    <n v="839.27700000000004"/>
    <n v="839.27700000000004"/>
    <n v="839.27700000000004"/>
    <n v="839.27700000000004"/>
    <n v="0"/>
    <x v="0"/>
    <n v="0"/>
    <n v="0"/>
    <n v="21"/>
    <n v="30"/>
    <n v="0"/>
    <n v="58.05"/>
    <n v="241.37"/>
    <m/>
    <n v="93.32617220991402"/>
    <n v="239.91115615602757"/>
    <n v="0"/>
    <n v="48720.029849999999"/>
    <n v="202576.28949000002"/>
    <n v="0"/>
    <n v="78326.509833820019"/>
    <n v="201351.91540516238"/>
  </r>
  <r>
    <s v="Regular"/>
    <x v="0"/>
    <x v="1"/>
    <x v="0"/>
    <x v="0"/>
    <x v="0"/>
    <x v="0"/>
    <x v="0"/>
    <x v="2"/>
    <n v="0"/>
    <n v="0"/>
    <n v="813.45100000000002"/>
    <n v="813.45100000000002"/>
    <n v="813.45100000000002"/>
    <n v="813.45100000000002"/>
    <n v="0"/>
    <x v="0"/>
    <n v="0"/>
    <n v="0"/>
    <n v="21"/>
    <n v="30"/>
    <n v="0"/>
    <n v="58.05"/>
    <n v="241.37"/>
    <m/>
    <n v="93.32617220991402"/>
    <n v="239.91115615602757"/>
    <n v="0"/>
    <n v="47220.830549999999"/>
    <n v="196342.66787"/>
    <n v="0"/>
    <n v="75916.268110326768"/>
    <n v="195155.96988627678"/>
  </r>
  <r>
    <s v="Regular"/>
    <x v="0"/>
    <x v="1"/>
    <x v="0"/>
    <x v="0"/>
    <x v="0"/>
    <x v="0"/>
    <x v="0"/>
    <x v="3"/>
    <n v="0"/>
    <n v="0"/>
    <n v="570.33299999999997"/>
    <n v="570.33299999999997"/>
    <n v="570.33299999999997"/>
    <n v="570.33299999999997"/>
    <n v="0"/>
    <x v="0"/>
    <n v="0"/>
    <n v="0"/>
    <n v="21"/>
    <n v="30"/>
    <n v="0"/>
    <n v="58.05"/>
    <n v="241.37"/>
    <m/>
    <n v="93.32617220991402"/>
    <n v="239.91115615602757"/>
    <n v="0"/>
    <n v="33107.830649999996"/>
    <n v="137661.27620999998"/>
    <n v="0"/>
    <n v="53226.995774996889"/>
    <n v="136829.24942393566"/>
  </r>
  <r>
    <s v="Regular"/>
    <x v="0"/>
    <x v="1"/>
    <x v="0"/>
    <x v="0"/>
    <x v="0"/>
    <x v="0"/>
    <x v="0"/>
    <x v="4"/>
    <n v="0"/>
    <n v="0"/>
    <n v="540.96799999999996"/>
    <n v="540.96799999999996"/>
    <n v="540.96799999999996"/>
    <n v="540.96799999999996"/>
    <n v="0"/>
    <x v="0"/>
    <n v="0"/>
    <n v="0"/>
    <n v="21"/>
    <n v="30"/>
    <n v="0"/>
    <n v="58.05"/>
    <n v="241.37"/>
    <m/>
    <n v="93.32617220991402"/>
    <n v="239.91115615602757"/>
    <n v="0"/>
    <n v="31403.192399999996"/>
    <n v="130573.44615999999"/>
    <n v="0"/>
    <n v="50486.472728052766"/>
    <n v="129784.25832341392"/>
  </r>
  <r>
    <s v="Regular"/>
    <x v="0"/>
    <x v="1"/>
    <x v="0"/>
    <x v="0"/>
    <x v="0"/>
    <x v="0"/>
    <x v="0"/>
    <x v="5"/>
    <n v="0"/>
    <n v="0"/>
    <n v="697.9"/>
    <n v="697.9"/>
    <n v="697.9"/>
    <n v="697.9"/>
    <n v="0"/>
    <x v="0"/>
    <n v="0"/>
    <n v="0"/>
    <n v="21"/>
    <n v="30"/>
    <n v="0"/>
    <n v="58.05"/>
    <n v="241.37"/>
    <m/>
    <n v="93.32617220991402"/>
    <n v="239.91115615602757"/>
    <n v="0"/>
    <n v="40513.094999999994"/>
    <n v="168452.12299999999"/>
    <n v="0"/>
    <n v="65132.335585298992"/>
    <n v="167433.99588129163"/>
  </r>
  <r>
    <s v="Regular"/>
    <x v="0"/>
    <x v="1"/>
    <x v="0"/>
    <x v="0"/>
    <x v="0"/>
    <x v="0"/>
    <x v="0"/>
    <x v="6"/>
    <n v="0"/>
    <n v="0"/>
    <n v="812.10500000000002"/>
    <n v="812.10500000000002"/>
    <n v="812.10500000000002"/>
    <n v="812.10500000000002"/>
    <n v="0"/>
    <x v="0"/>
    <n v="0"/>
    <n v="0"/>
    <n v="21"/>
    <n v="30"/>
    <n v="0"/>
    <n v="58.05"/>
    <n v="241.37"/>
    <m/>
    <n v="93.32617220991402"/>
    <n v="239.91115615602757"/>
    <n v="0"/>
    <n v="47142.695249999997"/>
    <n v="196017.78385000001"/>
    <n v="0"/>
    <n v="75790.651082532233"/>
    <n v="194833.04947009077"/>
  </r>
  <r>
    <s v="Regular"/>
    <x v="0"/>
    <x v="1"/>
    <x v="0"/>
    <x v="0"/>
    <x v="0"/>
    <x v="0"/>
    <x v="0"/>
    <x v="7"/>
    <n v="0"/>
    <n v="0"/>
    <n v="686.30200000000002"/>
    <n v="686.30200000000002"/>
    <n v="686.30200000000002"/>
    <n v="686.30200000000002"/>
    <n v="0"/>
    <x v="0"/>
    <n v="0"/>
    <n v="0"/>
    <n v="21"/>
    <n v="30"/>
    <n v="0"/>
    <n v="58.05"/>
    <n v="241.37"/>
    <m/>
    <n v="93.32617220991402"/>
    <n v="239.91115615602757"/>
    <n v="0"/>
    <n v="39839.831099999996"/>
    <n v="165652.71374000001"/>
    <n v="0"/>
    <n v="64049.938640008411"/>
    <n v="164651.50629219404"/>
  </r>
  <r>
    <s v="Regular"/>
    <x v="0"/>
    <x v="1"/>
    <x v="0"/>
    <x v="0"/>
    <x v="0"/>
    <x v="0"/>
    <x v="0"/>
    <x v="8"/>
    <n v="0"/>
    <n v="0"/>
    <n v="821.25599999999997"/>
    <n v="821.25599999999997"/>
    <n v="821.25599999999997"/>
    <n v="821.25599999999997"/>
    <n v="0"/>
    <x v="0"/>
    <n v="0"/>
    <n v="0"/>
    <n v="21"/>
    <n v="30"/>
    <n v="0"/>
    <n v="58.05"/>
    <n v="241.37"/>
    <m/>
    <n v="93.32617220991402"/>
    <n v="239.91115615602757"/>
    <n v="0"/>
    <n v="47673.910799999998"/>
    <n v="198226.56072000001"/>
    <n v="0"/>
    <n v="76644.678884425142"/>
    <n v="197028.47646007457"/>
  </r>
  <r>
    <s v="Regular"/>
    <x v="0"/>
    <x v="1"/>
    <x v="0"/>
    <x v="0"/>
    <x v="0"/>
    <x v="0"/>
    <x v="0"/>
    <x v="9"/>
    <n v="0"/>
    <n v="0"/>
    <n v="813.048"/>
    <n v="813.048"/>
    <n v="813.048"/>
    <n v="813.048"/>
    <n v="0"/>
    <x v="0"/>
    <n v="0"/>
    <n v="0"/>
    <n v="21"/>
    <n v="30"/>
    <n v="0"/>
    <n v="58.05"/>
    <n v="241.37"/>
    <m/>
    <n v="93.32617220991402"/>
    <n v="239.91115615602757"/>
    <n v="0"/>
    <n v="47197.436399999999"/>
    <n v="196245.39576000001"/>
    <n v="0"/>
    <n v="75878.657662926169"/>
    <n v="195059.28569034592"/>
  </r>
  <r>
    <s v="Regular"/>
    <x v="0"/>
    <x v="1"/>
    <x v="0"/>
    <x v="0"/>
    <x v="0"/>
    <x v="0"/>
    <x v="0"/>
    <x v="10"/>
    <n v="0"/>
    <n v="0"/>
    <n v="783.96100000000001"/>
    <n v="783.96100000000001"/>
    <n v="783.96100000000001"/>
    <n v="783.96100000000001"/>
    <n v="0"/>
    <x v="0"/>
    <n v="0"/>
    <n v="0"/>
    <n v="21"/>
    <n v="30"/>
    <n v="0"/>
    <n v="58.05"/>
    <n v="241.37"/>
    <m/>
    <n v="93.32617220991402"/>
    <n v="239.91115615602757"/>
    <n v="0"/>
    <n v="45508.936049999997"/>
    <n v="189224.66657"/>
    <n v="0"/>
    <n v="73164.079291856411"/>
    <n v="188080.98989123554"/>
  </r>
  <r>
    <s v="Regular"/>
    <x v="0"/>
    <x v="1"/>
    <x v="0"/>
    <x v="0"/>
    <x v="0"/>
    <x v="0"/>
    <x v="0"/>
    <x v="11"/>
    <n v="0"/>
    <n v="0"/>
    <n v="851.34699999999998"/>
    <n v="851.34699999999998"/>
    <n v="851.34699999999998"/>
    <n v="851.34699999999998"/>
    <n v="0"/>
    <x v="0"/>
    <n v="0"/>
    <n v="0"/>
    <n v="21"/>
    <n v="30"/>
    <n v="0"/>
    <n v="58.05"/>
    <n v="241.37"/>
    <m/>
    <n v="93.32617220991402"/>
    <n v="239.91115615602757"/>
    <n v="0"/>
    <n v="49420.693349999994"/>
    <n v="205489.62539"/>
    <n v="0"/>
    <n v="79452.956732393664"/>
    <n v="204247.6430599656"/>
  </r>
  <r>
    <s v="Regular"/>
    <x v="0"/>
    <x v="1"/>
    <x v="0"/>
    <x v="0"/>
    <x v="0"/>
    <x v="0"/>
    <x v="2"/>
    <x v="0"/>
    <n v="3766"/>
    <n v="3766"/>
    <n v="0"/>
    <n v="0"/>
    <n v="0"/>
    <n v="0"/>
    <n v="12"/>
    <x v="0"/>
    <n v="0"/>
    <n v="14"/>
    <n v="0"/>
    <n v="0"/>
    <n v="13.01"/>
    <n v="0"/>
    <n v="0"/>
    <n v="14.787548847709356"/>
    <m/>
    <m/>
    <n v="48995.659999999996"/>
    <n v="0"/>
    <n v="0"/>
    <n v="55689.908960473433"/>
    <n v="0"/>
    <n v="0"/>
  </r>
  <r>
    <s v="Regular"/>
    <x v="0"/>
    <x v="1"/>
    <x v="0"/>
    <x v="0"/>
    <x v="0"/>
    <x v="0"/>
    <x v="2"/>
    <x v="1"/>
    <n v="3770"/>
    <n v="3770"/>
    <n v="0"/>
    <n v="0"/>
    <n v="0"/>
    <n v="0"/>
    <n v="12"/>
    <x v="0"/>
    <n v="0"/>
    <n v="14"/>
    <n v="0"/>
    <n v="0"/>
    <n v="13.01"/>
    <n v="0"/>
    <n v="0"/>
    <n v="14.787548847709356"/>
    <m/>
    <m/>
    <n v="49047.7"/>
    <n v="0"/>
    <n v="0"/>
    <n v="55749.05915586427"/>
    <n v="0"/>
    <n v="0"/>
  </r>
  <r>
    <s v="Regular"/>
    <x v="0"/>
    <x v="1"/>
    <x v="0"/>
    <x v="0"/>
    <x v="0"/>
    <x v="0"/>
    <x v="2"/>
    <x v="2"/>
    <n v="3791"/>
    <n v="3791"/>
    <n v="0"/>
    <n v="0"/>
    <n v="0"/>
    <n v="0"/>
    <n v="12"/>
    <x v="0"/>
    <n v="0"/>
    <n v="14"/>
    <n v="0"/>
    <n v="0"/>
    <n v="13.01"/>
    <n v="0"/>
    <n v="0"/>
    <n v="14.787548847709356"/>
    <m/>
    <m/>
    <n v="49320.909999999996"/>
    <n v="0"/>
    <n v="0"/>
    <n v="56059.597681666171"/>
    <n v="0"/>
    <n v="0"/>
  </r>
  <r>
    <s v="Regular"/>
    <x v="0"/>
    <x v="1"/>
    <x v="0"/>
    <x v="0"/>
    <x v="0"/>
    <x v="0"/>
    <x v="2"/>
    <x v="3"/>
    <n v="3776"/>
    <n v="3776"/>
    <n v="0"/>
    <n v="0"/>
    <n v="0"/>
    <n v="0"/>
    <n v="12"/>
    <x v="0"/>
    <n v="0"/>
    <n v="14"/>
    <n v="0"/>
    <n v="0"/>
    <n v="13.01"/>
    <n v="0"/>
    <n v="0"/>
    <n v="14.787548847709356"/>
    <m/>
    <m/>
    <n v="49125.760000000002"/>
    <n v="0"/>
    <n v="0"/>
    <n v="55837.78444895053"/>
    <n v="0"/>
    <n v="0"/>
  </r>
  <r>
    <s v="Regular"/>
    <x v="0"/>
    <x v="1"/>
    <x v="0"/>
    <x v="0"/>
    <x v="0"/>
    <x v="0"/>
    <x v="2"/>
    <x v="4"/>
    <n v="3775"/>
    <n v="3775"/>
    <n v="0"/>
    <n v="0"/>
    <n v="0"/>
    <n v="0"/>
    <n v="12"/>
    <x v="0"/>
    <n v="0"/>
    <n v="14"/>
    <n v="0"/>
    <n v="0"/>
    <n v="13.01"/>
    <n v="0"/>
    <n v="0"/>
    <n v="14.787548847709356"/>
    <m/>
    <m/>
    <n v="49112.75"/>
    <n v="0"/>
    <n v="0"/>
    <n v="55822.996900102822"/>
    <n v="0"/>
    <n v="0"/>
  </r>
  <r>
    <s v="Regular"/>
    <x v="0"/>
    <x v="1"/>
    <x v="0"/>
    <x v="0"/>
    <x v="0"/>
    <x v="0"/>
    <x v="2"/>
    <x v="5"/>
    <n v="3778"/>
    <n v="3778"/>
    <n v="0"/>
    <n v="0"/>
    <n v="0"/>
    <n v="0"/>
    <n v="12"/>
    <x v="0"/>
    <n v="0"/>
    <n v="14"/>
    <n v="0"/>
    <n v="0"/>
    <n v="13.01"/>
    <n v="0"/>
    <n v="0"/>
    <n v="14.787548847709356"/>
    <m/>
    <m/>
    <n v="49151.78"/>
    <n v="0"/>
    <n v="0"/>
    <n v="55867.359546645945"/>
    <n v="0"/>
    <n v="0"/>
  </r>
  <r>
    <s v="Regular"/>
    <x v="0"/>
    <x v="1"/>
    <x v="0"/>
    <x v="0"/>
    <x v="0"/>
    <x v="0"/>
    <x v="2"/>
    <x v="6"/>
    <n v="3776"/>
    <n v="3776"/>
    <n v="0"/>
    <n v="0"/>
    <n v="0"/>
    <n v="0"/>
    <n v="12"/>
    <x v="0"/>
    <n v="0"/>
    <n v="14"/>
    <n v="0"/>
    <n v="0"/>
    <n v="13.01"/>
    <n v="0"/>
    <n v="0"/>
    <n v="14.787548847709356"/>
    <m/>
    <m/>
    <n v="49125.760000000002"/>
    <n v="0"/>
    <n v="0"/>
    <n v="55837.78444895053"/>
    <n v="0"/>
    <n v="0"/>
  </r>
  <r>
    <s v="Regular"/>
    <x v="0"/>
    <x v="1"/>
    <x v="0"/>
    <x v="0"/>
    <x v="0"/>
    <x v="0"/>
    <x v="2"/>
    <x v="7"/>
    <n v="3788"/>
    <n v="3788"/>
    <n v="0"/>
    <n v="0"/>
    <n v="0"/>
    <n v="0"/>
    <n v="12"/>
    <x v="0"/>
    <n v="0"/>
    <n v="14"/>
    <n v="0"/>
    <n v="0"/>
    <n v="13.01"/>
    <n v="0"/>
    <n v="0"/>
    <n v="14.787548847709356"/>
    <m/>
    <m/>
    <n v="49281.88"/>
    <n v="0"/>
    <n v="0"/>
    <n v="56015.235035123042"/>
    <n v="0"/>
    <n v="0"/>
  </r>
  <r>
    <s v="Regular"/>
    <x v="0"/>
    <x v="1"/>
    <x v="0"/>
    <x v="0"/>
    <x v="0"/>
    <x v="0"/>
    <x v="2"/>
    <x v="8"/>
    <n v="3810"/>
    <n v="3810"/>
    <n v="0"/>
    <n v="0"/>
    <n v="0"/>
    <n v="0"/>
    <n v="12"/>
    <x v="0"/>
    <n v="0"/>
    <n v="14"/>
    <n v="0"/>
    <n v="0"/>
    <n v="13.01"/>
    <n v="0"/>
    <n v="0"/>
    <n v="14.787548847709356"/>
    <m/>
    <m/>
    <n v="49568.1"/>
    <n v="0"/>
    <n v="0"/>
    <n v="56340.561109772651"/>
    <n v="0"/>
    <n v="0"/>
  </r>
  <r>
    <s v="Regular"/>
    <x v="0"/>
    <x v="1"/>
    <x v="0"/>
    <x v="0"/>
    <x v="0"/>
    <x v="0"/>
    <x v="2"/>
    <x v="9"/>
    <n v="3814"/>
    <n v="3814"/>
    <n v="0"/>
    <n v="0"/>
    <n v="0"/>
    <n v="0"/>
    <n v="12"/>
    <x v="0"/>
    <n v="0"/>
    <n v="14"/>
    <n v="0"/>
    <n v="0"/>
    <n v="13.01"/>
    <n v="0"/>
    <n v="0"/>
    <n v="14.787548847709356"/>
    <m/>
    <m/>
    <n v="49620.14"/>
    <n v="0"/>
    <n v="0"/>
    <n v="56399.711305163488"/>
    <n v="0"/>
    <n v="0"/>
  </r>
  <r>
    <s v="Regular"/>
    <x v="0"/>
    <x v="1"/>
    <x v="0"/>
    <x v="0"/>
    <x v="0"/>
    <x v="0"/>
    <x v="2"/>
    <x v="10"/>
    <n v="3470"/>
    <n v="3470"/>
    <n v="0"/>
    <n v="0"/>
    <n v="0"/>
    <n v="0"/>
    <n v="12"/>
    <x v="0"/>
    <n v="0"/>
    <n v="14"/>
    <n v="0"/>
    <n v="0"/>
    <n v="13.01"/>
    <n v="0"/>
    <n v="0"/>
    <n v="14.787548847709356"/>
    <m/>
    <m/>
    <n v="45144.7"/>
    <n v="0"/>
    <n v="0"/>
    <n v="51312.794501551463"/>
    <n v="0"/>
    <n v="0"/>
  </r>
  <r>
    <s v="Regular"/>
    <x v="0"/>
    <x v="1"/>
    <x v="0"/>
    <x v="0"/>
    <x v="0"/>
    <x v="0"/>
    <x v="2"/>
    <x v="11"/>
    <n v="3473"/>
    <n v="3473"/>
    <n v="0"/>
    <n v="0"/>
    <n v="0"/>
    <n v="0"/>
    <n v="12"/>
    <x v="0"/>
    <n v="0"/>
    <n v="14"/>
    <n v="0"/>
    <n v="0"/>
    <n v="13.01"/>
    <n v="0"/>
    <n v="0"/>
    <n v="14.787548847709356"/>
    <m/>
    <m/>
    <n v="45183.729999999996"/>
    <n v="0"/>
    <n v="0"/>
    <n v="51357.157148094593"/>
    <n v="0"/>
    <n v="0"/>
  </r>
  <r>
    <s v="Regular"/>
    <x v="0"/>
    <x v="1"/>
    <x v="0"/>
    <x v="0"/>
    <x v="0"/>
    <x v="0"/>
    <x v="1"/>
    <x v="0"/>
    <n v="0"/>
    <n v="0"/>
    <n v="72.278000000000006"/>
    <n v="72.278000000000006"/>
    <n v="72.278000000000006"/>
    <n v="72.278000000000006"/>
    <n v="0"/>
    <x v="0"/>
    <n v="0"/>
    <n v="0"/>
    <n v="28"/>
    <n v="45"/>
    <n v="0"/>
    <n v="1030.1600000000001"/>
    <n v="241.37"/>
    <m/>
    <n v="1077.8992061823467"/>
    <n v="239.91115615602757"/>
    <n v="0"/>
    <n v="74457.904480000012"/>
    <n v="17445.740860000002"/>
    <n v="0"/>
    <n v="77908.398824447664"/>
    <n v="17340.298544645364"/>
  </r>
  <r>
    <s v="Regular"/>
    <x v="0"/>
    <x v="1"/>
    <x v="0"/>
    <x v="0"/>
    <x v="0"/>
    <x v="0"/>
    <x v="1"/>
    <x v="1"/>
    <n v="0"/>
    <n v="0"/>
    <n v="74.361000000000004"/>
    <n v="74.361000000000004"/>
    <n v="74.361000000000004"/>
    <n v="74.361000000000004"/>
    <n v="0"/>
    <x v="0"/>
    <n v="0"/>
    <n v="0"/>
    <n v="28"/>
    <n v="45"/>
    <n v="0"/>
    <n v="1030.1600000000001"/>
    <n v="241.37"/>
    <m/>
    <n v="1077.8992061823467"/>
    <n v="239.91115615602757"/>
    <n v="0"/>
    <n v="76603.727760000009"/>
    <n v="17948.514570000003"/>
    <n v="0"/>
    <n v="80153.662870925487"/>
    <n v="17840.033482918367"/>
  </r>
  <r>
    <s v="Regular"/>
    <x v="0"/>
    <x v="1"/>
    <x v="0"/>
    <x v="0"/>
    <x v="0"/>
    <x v="0"/>
    <x v="1"/>
    <x v="2"/>
    <n v="0"/>
    <n v="0"/>
    <n v="66.813000000000002"/>
    <n v="66.813000000000002"/>
    <n v="66.813000000000002"/>
    <n v="66.813000000000002"/>
    <n v="0"/>
    <x v="0"/>
    <n v="0"/>
    <n v="0"/>
    <n v="28"/>
    <n v="45"/>
    <n v="0"/>
    <n v="1030.1600000000001"/>
    <n v="241.37"/>
    <m/>
    <n v="1077.8992061823467"/>
    <n v="239.91115615602757"/>
    <n v="0"/>
    <n v="68828.080080000014"/>
    <n v="16126.653810000002"/>
    <n v="0"/>
    <n v="72017.679662661132"/>
    <n v="16029.18407625267"/>
  </r>
  <r>
    <s v="Regular"/>
    <x v="0"/>
    <x v="1"/>
    <x v="0"/>
    <x v="0"/>
    <x v="0"/>
    <x v="0"/>
    <x v="1"/>
    <x v="3"/>
    <n v="0"/>
    <n v="0"/>
    <n v="48.868000000000002"/>
    <n v="48.868000000000002"/>
    <n v="48.868000000000002"/>
    <n v="48.868000000000002"/>
    <n v="0"/>
    <x v="0"/>
    <n v="0"/>
    <n v="0"/>
    <n v="28"/>
    <n v="45"/>
    <n v="0"/>
    <n v="1030.1600000000001"/>
    <n v="241.37"/>
    <m/>
    <n v="1077.8992061823467"/>
    <n v="239.91115615602757"/>
    <n v="0"/>
    <n v="50341.858880000007"/>
    <n v="11795.26916"/>
    <n v="0"/>
    <n v="52674.778407718921"/>
    <n v="11723.978379032756"/>
  </r>
  <r>
    <s v="Regular"/>
    <x v="0"/>
    <x v="1"/>
    <x v="0"/>
    <x v="0"/>
    <x v="0"/>
    <x v="0"/>
    <x v="1"/>
    <x v="4"/>
    <n v="0"/>
    <n v="0"/>
    <n v="45.069000000000003"/>
    <n v="45.069000000000003"/>
    <n v="45.069000000000003"/>
    <n v="45.069000000000003"/>
    <n v="0"/>
    <x v="0"/>
    <n v="0"/>
    <n v="0"/>
    <n v="28"/>
    <n v="45"/>
    <n v="0"/>
    <n v="1030.1600000000001"/>
    <n v="241.37"/>
    <m/>
    <n v="1077.8992061823467"/>
    <n v="239.91115615602757"/>
    <n v="0"/>
    <n v="46428.281040000009"/>
    <n v="10878.304530000001"/>
    <n v="0"/>
    <n v="48579.839323432185"/>
    <n v="10812.555896796008"/>
  </r>
  <r>
    <s v="Regular"/>
    <x v="0"/>
    <x v="1"/>
    <x v="0"/>
    <x v="0"/>
    <x v="0"/>
    <x v="0"/>
    <x v="1"/>
    <x v="5"/>
    <n v="0"/>
    <n v="0"/>
    <n v="59.723999999999997"/>
    <n v="59.723999999999997"/>
    <n v="59.723999999999997"/>
    <n v="59.723999999999997"/>
    <n v="0"/>
    <x v="0"/>
    <n v="0"/>
    <n v="0"/>
    <n v="28"/>
    <n v="45"/>
    <n v="0"/>
    <n v="1030.1600000000001"/>
    <n v="241.37"/>
    <m/>
    <n v="1077.8992061823467"/>
    <n v="239.91115615602757"/>
    <n v="0"/>
    <n v="61525.275840000002"/>
    <n v="14415.58188"/>
    <n v="0"/>
    <n v="64376.45219003447"/>
    <n v="14328.45389026259"/>
  </r>
  <r>
    <s v="Regular"/>
    <x v="0"/>
    <x v="1"/>
    <x v="0"/>
    <x v="0"/>
    <x v="0"/>
    <x v="0"/>
    <x v="1"/>
    <x v="6"/>
    <n v="0"/>
    <n v="0"/>
    <n v="67.793999999999997"/>
    <n v="67.793999999999997"/>
    <n v="67.793999999999997"/>
    <n v="67.793999999999997"/>
    <n v="0"/>
    <x v="0"/>
    <n v="0"/>
    <n v="0"/>
    <n v="28"/>
    <n v="45"/>
    <n v="0"/>
    <n v="1030.1600000000001"/>
    <n v="241.37"/>
    <m/>
    <n v="1077.8992061823467"/>
    <n v="239.91115615602757"/>
    <n v="0"/>
    <n v="69838.66704"/>
    <n v="16363.43778"/>
    <n v="0"/>
    <n v="73075.098783926005"/>
    <n v="16264.536920441733"/>
  </r>
  <r>
    <s v="Regular"/>
    <x v="0"/>
    <x v="1"/>
    <x v="0"/>
    <x v="0"/>
    <x v="0"/>
    <x v="0"/>
    <x v="1"/>
    <x v="7"/>
    <n v="0"/>
    <n v="0"/>
    <n v="53.433"/>
    <n v="53.433"/>
    <n v="53.433"/>
    <n v="53.433"/>
    <n v="0"/>
    <x v="0"/>
    <n v="0"/>
    <n v="0"/>
    <n v="28"/>
    <n v="45"/>
    <n v="0"/>
    <n v="1030.1600000000001"/>
    <n v="241.37"/>
    <m/>
    <n v="1077.8992061823467"/>
    <n v="239.91115615602757"/>
    <n v="0"/>
    <n v="55044.539280000005"/>
    <n v="12897.12321"/>
    <n v="0"/>
    <n v="57595.388283941327"/>
    <n v="12819.172806885021"/>
  </r>
  <r>
    <s v="Regular"/>
    <x v="0"/>
    <x v="1"/>
    <x v="0"/>
    <x v="0"/>
    <x v="0"/>
    <x v="0"/>
    <x v="1"/>
    <x v="8"/>
    <n v="0"/>
    <n v="0"/>
    <n v="69.762"/>
    <n v="69.762"/>
    <n v="69.762"/>
    <n v="69.762"/>
    <n v="0"/>
    <x v="0"/>
    <n v="0"/>
    <n v="0"/>
    <n v="28"/>
    <n v="45"/>
    <n v="0"/>
    <n v="1030.1600000000001"/>
    <n v="241.37"/>
    <m/>
    <n v="1077.8992061823467"/>
    <n v="239.91115615602757"/>
    <n v="0"/>
    <n v="71866.021919999999"/>
    <n v="16838.453939999999"/>
    <n v="0"/>
    <n v="75196.404421692874"/>
    <n v="16736.682075756795"/>
  </r>
  <r>
    <s v="Regular"/>
    <x v="0"/>
    <x v="1"/>
    <x v="0"/>
    <x v="0"/>
    <x v="0"/>
    <x v="0"/>
    <x v="1"/>
    <x v="9"/>
    <n v="0"/>
    <n v="0"/>
    <n v="69.900999999999996"/>
    <n v="69.900999999999996"/>
    <n v="69.900999999999996"/>
    <n v="69.900999999999996"/>
    <n v="0"/>
    <x v="0"/>
    <n v="0"/>
    <n v="0"/>
    <n v="28"/>
    <n v="45"/>
    <n v="0"/>
    <n v="1030.1600000000001"/>
    <n v="241.37"/>
    <m/>
    <n v="1077.8992061823467"/>
    <n v="239.91115615602757"/>
    <n v="0"/>
    <n v="72009.214160000003"/>
    <n v="16872.004369999999"/>
    <n v="0"/>
    <n v="75346.232411352219"/>
    <n v="16770.029726462482"/>
  </r>
  <r>
    <s v="Regular"/>
    <x v="0"/>
    <x v="1"/>
    <x v="0"/>
    <x v="0"/>
    <x v="0"/>
    <x v="0"/>
    <x v="1"/>
    <x v="10"/>
    <n v="0"/>
    <n v="0"/>
    <n v="70.543999999999997"/>
    <n v="70.543999999999997"/>
    <n v="70.543999999999997"/>
    <n v="70.543999999999997"/>
    <n v="0"/>
    <x v="0"/>
    <n v="0"/>
    <n v="0"/>
    <n v="28"/>
    <n v="45"/>
    <n v="0"/>
    <n v="1030.1600000000001"/>
    <n v="241.37"/>
    <m/>
    <n v="1077.8992061823467"/>
    <n v="239.91115615602757"/>
    <n v="0"/>
    <n v="72671.607040000003"/>
    <n v="17027.205279999998"/>
    <n v="0"/>
    <n v="76039.321600927462"/>
    <n v="16924.292599870809"/>
  </r>
  <r>
    <s v="Regular"/>
    <x v="0"/>
    <x v="1"/>
    <x v="0"/>
    <x v="0"/>
    <x v="0"/>
    <x v="0"/>
    <x v="1"/>
    <x v="11"/>
    <n v="0"/>
    <n v="0"/>
    <n v="72.47"/>
    <n v="72.47"/>
    <n v="72.47"/>
    <n v="72.47"/>
    <n v="0"/>
    <x v="0"/>
    <n v="0"/>
    <n v="0"/>
    <n v="28"/>
    <n v="45"/>
    <n v="0"/>
    <n v="1030.1600000000001"/>
    <n v="241.37"/>
    <m/>
    <n v="1077.8992061823467"/>
    <n v="239.91115615602757"/>
    <n v="0"/>
    <n v="74655.695200000002"/>
    <n v="17492.083900000001"/>
    <n v="0"/>
    <n v="78115.355472034658"/>
    <n v="17386.361486627316"/>
  </r>
  <r>
    <s v="Regular"/>
    <x v="1"/>
    <x v="2"/>
    <x v="1"/>
    <x v="1"/>
    <x v="0"/>
    <x v="0"/>
    <x v="2"/>
    <x v="0"/>
    <n v="0"/>
    <n v="0"/>
    <n v="237.81800000000001"/>
    <n v="237.81800000000001"/>
    <n v="237.81800000000001"/>
    <n v="237.81800000000001"/>
    <n v="1033"/>
    <x v="0"/>
    <n v="0"/>
    <n v="0"/>
    <n v="17"/>
    <n v="52"/>
    <n v="0"/>
    <n v="222.38"/>
    <n v="241.37"/>
    <m/>
    <n v="279.53272487868679"/>
    <n v="239.91115615602757"/>
    <n v="0"/>
    <n v="52885.966840000001"/>
    <n v="57402.130660000003"/>
    <n v="0"/>
    <n v="66477.913565199546"/>
    <n v="57055.191334714167"/>
  </r>
  <r>
    <s v="Regular"/>
    <x v="1"/>
    <x v="2"/>
    <x v="1"/>
    <x v="1"/>
    <x v="0"/>
    <x v="0"/>
    <x v="2"/>
    <x v="1"/>
    <n v="0"/>
    <n v="0"/>
    <n v="237.14400000000001"/>
    <n v="237.14400000000001"/>
    <n v="237.14400000000001"/>
    <n v="237.14400000000001"/>
    <n v="1029"/>
    <x v="0"/>
    <n v="0"/>
    <n v="0"/>
    <n v="17"/>
    <n v="52"/>
    <n v="0"/>
    <n v="222.38"/>
    <n v="241.37"/>
    <m/>
    <n v="279.53272487868679"/>
    <n v="239.91115615602757"/>
    <n v="0"/>
    <n v="52736.082719999999"/>
    <n v="57239.44728"/>
    <n v="0"/>
    <n v="66289.508508631305"/>
    <n v="56893.491215465001"/>
  </r>
  <r>
    <s v="Regular"/>
    <x v="1"/>
    <x v="2"/>
    <x v="1"/>
    <x v="1"/>
    <x v="0"/>
    <x v="0"/>
    <x v="2"/>
    <x v="2"/>
    <n v="0"/>
    <n v="0"/>
    <n v="237.858"/>
    <n v="237.858"/>
    <n v="237.858"/>
    <n v="237.858"/>
    <n v="1032"/>
    <x v="0"/>
    <n v="0"/>
    <n v="0"/>
    <n v="17"/>
    <n v="52"/>
    <n v="0"/>
    <n v="222.38"/>
    <n v="241.37"/>
    <m/>
    <n v="279.53272487868679"/>
    <n v="239.91115615602757"/>
    <n v="0"/>
    <n v="52894.86204"/>
    <n v="57411.785459999999"/>
    <n v="0"/>
    <n v="66489.094874194678"/>
    <n v="57064.787780960411"/>
  </r>
  <r>
    <s v="Regular"/>
    <x v="1"/>
    <x v="2"/>
    <x v="1"/>
    <x v="1"/>
    <x v="0"/>
    <x v="0"/>
    <x v="2"/>
    <x v="3"/>
    <n v="0"/>
    <n v="0"/>
    <n v="240.846"/>
    <n v="240.846"/>
    <n v="240.846"/>
    <n v="240.846"/>
    <n v="1037"/>
    <x v="0"/>
    <n v="0"/>
    <n v="0"/>
    <n v="17"/>
    <n v="52"/>
    <n v="0"/>
    <n v="222.38"/>
    <n v="241.37"/>
    <m/>
    <n v="279.53272487868679"/>
    <n v="239.91115615602757"/>
    <n v="0"/>
    <n v="53559.333480000001"/>
    <n v="58132.999020000003"/>
    <n v="0"/>
    <n v="67324.338656132197"/>
    <n v="57781.642315554614"/>
  </r>
  <r>
    <s v="Regular"/>
    <x v="1"/>
    <x v="2"/>
    <x v="1"/>
    <x v="1"/>
    <x v="0"/>
    <x v="0"/>
    <x v="2"/>
    <x v="4"/>
    <n v="0"/>
    <n v="0"/>
    <n v="274.649"/>
    <n v="274.649"/>
    <n v="274.649"/>
    <n v="274.649"/>
    <n v="1038"/>
    <x v="0"/>
    <n v="0"/>
    <n v="0"/>
    <n v="17"/>
    <n v="52"/>
    <n v="0"/>
    <n v="222.38"/>
    <n v="241.37"/>
    <m/>
    <n v="279.53272487868679"/>
    <n v="239.91115615602757"/>
    <n v="0"/>
    <n v="61076.444620000002"/>
    <n v="66292.029129999995"/>
    <n v="0"/>
    <n v="76773.383355206446"/>
    <n v="65891.359127096817"/>
  </r>
  <r>
    <s v="Regular"/>
    <x v="1"/>
    <x v="2"/>
    <x v="1"/>
    <x v="1"/>
    <x v="0"/>
    <x v="0"/>
    <x v="2"/>
    <x v="5"/>
    <n v="0"/>
    <n v="0"/>
    <n v="277.30799999999999"/>
    <n v="277.30799999999999"/>
    <n v="277.30799999999999"/>
    <n v="277.30799999999999"/>
    <n v="1040"/>
    <x v="0"/>
    <n v="0"/>
    <n v="0"/>
    <n v="17"/>
    <n v="52"/>
    <n v="0"/>
    <n v="222.38"/>
    <n v="241.37"/>
    <m/>
    <n v="279.53272487868679"/>
    <n v="239.91115615602757"/>
    <n v="0"/>
    <n v="61667.753039999996"/>
    <n v="66933.831959999996"/>
    <n v="0"/>
    <n v="77516.660870658874"/>
    <n v="66529.282891315699"/>
  </r>
  <r>
    <s v="Regular"/>
    <x v="1"/>
    <x v="2"/>
    <x v="1"/>
    <x v="1"/>
    <x v="0"/>
    <x v="0"/>
    <x v="2"/>
    <x v="6"/>
    <n v="0"/>
    <n v="0"/>
    <n v="252.50700000000001"/>
    <n v="252.50700000000001"/>
    <n v="252.50700000000001"/>
    <n v="252.50700000000001"/>
    <n v="1046"/>
    <x v="0"/>
    <n v="0"/>
    <n v="0"/>
    <n v="17"/>
    <n v="52"/>
    <n v="0"/>
    <n v="222.38"/>
    <n v="241.37"/>
    <m/>
    <n v="279.53272487868679"/>
    <n v="239.91115615602757"/>
    <n v="0"/>
    <n v="56152.506659999999"/>
    <n v="60947.614590000005"/>
    <n v="0"/>
    <n v="70583.969760942564"/>
    <n v="60579.246307490059"/>
  </r>
  <r>
    <s v="Regular"/>
    <x v="1"/>
    <x v="2"/>
    <x v="1"/>
    <x v="1"/>
    <x v="0"/>
    <x v="0"/>
    <x v="2"/>
    <x v="7"/>
    <n v="0"/>
    <n v="0"/>
    <n v="259.29199999999997"/>
    <n v="259.29199999999997"/>
    <n v="259.29199999999997"/>
    <n v="259.29199999999997"/>
    <n v="1052"/>
    <x v="0"/>
    <n v="0"/>
    <n v="0"/>
    <n v="17"/>
    <n v="52"/>
    <n v="0"/>
    <n v="222.38"/>
    <n v="241.37"/>
    <m/>
    <n v="279.53272487868679"/>
    <n v="239.91115615602757"/>
    <n v="0"/>
    <n v="57661.35495999999"/>
    <n v="62585.310039999997"/>
    <n v="0"/>
    <n v="72480.599299244452"/>
    <n v="62207.043502008695"/>
  </r>
  <r>
    <s v="Regular"/>
    <x v="1"/>
    <x v="2"/>
    <x v="1"/>
    <x v="1"/>
    <x v="0"/>
    <x v="0"/>
    <x v="2"/>
    <x v="8"/>
    <n v="0"/>
    <n v="0"/>
    <n v="229.471"/>
    <n v="229.471"/>
    <n v="229.471"/>
    <n v="229.471"/>
    <n v="1043"/>
    <x v="0"/>
    <n v="0"/>
    <n v="0"/>
    <n v="17"/>
    <n v="52"/>
    <n v="0"/>
    <n v="222.38"/>
    <n v="241.37"/>
    <m/>
    <n v="279.53272487868679"/>
    <n v="239.91115615602757"/>
    <n v="0"/>
    <n v="51029.760979999999"/>
    <n v="55387.415270000005"/>
    <n v="0"/>
    <n v="64144.653910637135"/>
    <n v="55052.652914279803"/>
  </r>
  <r>
    <s v="Regular"/>
    <x v="1"/>
    <x v="2"/>
    <x v="1"/>
    <x v="1"/>
    <x v="0"/>
    <x v="0"/>
    <x v="2"/>
    <x v="9"/>
    <n v="0"/>
    <n v="0"/>
    <n v="237.602"/>
    <n v="237.602"/>
    <n v="237.602"/>
    <n v="237.602"/>
    <n v="1042"/>
    <x v="0"/>
    <n v="0"/>
    <n v="0"/>
    <n v="17"/>
    <n v="52"/>
    <n v="0"/>
    <n v="222.38"/>
    <n v="241.37"/>
    <m/>
    <n v="279.53272487868679"/>
    <n v="239.91115615602757"/>
    <n v="0"/>
    <n v="52837.932760000003"/>
    <n v="57349.994740000002"/>
    <n v="0"/>
    <n v="66417.53449662574"/>
    <n v="57003.370524984464"/>
  </r>
  <r>
    <s v="Regular"/>
    <x v="1"/>
    <x v="2"/>
    <x v="1"/>
    <x v="1"/>
    <x v="0"/>
    <x v="0"/>
    <x v="2"/>
    <x v="10"/>
    <n v="0"/>
    <n v="0"/>
    <n v="238.339"/>
    <n v="238.339"/>
    <n v="238.339"/>
    <n v="238.339"/>
    <n v="1042"/>
    <x v="0"/>
    <n v="0"/>
    <n v="0"/>
    <n v="17"/>
    <n v="52"/>
    <n v="0"/>
    <n v="222.38"/>
    <n v="241.37"/>
    <m/>
    <n v="279.53272487868679"/>
    <n v="239.91115615602757"/>
    <n v="0"/>
    <n v="53001.826820000002"/>
    <n v="57527.884429999998"/>
    <n v="0"/>
    <n v="66623.550114861326"/>
    <n v="57180.185047071456"/>
  </r>
  <r>
    <s v="Regular"/>
    <x v="1"/>
    <x v="2"/>
    <x v="1"/>
    <x v="1"/>
    <x v="0"/>
    <x v="0"/>
    <x v="2"/>
    <x v="11"/>
    <n v="0"/>
    <n v="0"/>
    <n v="245.88"/>
    <n v="245.88"/>
    <n v="245.88"/>
    <n v="245.88"/>
    <n v="1041"/>
    <x v="0"/>
    <n v="0"/>
    <n v="0"/>
    <n v="17"/>
    <n v="52"/>
    <n v="0"/>
    <n v="222.38"/>
    <n v="241.37"/>
    <m/>
    <n v="279.53272487868679"/>
    <n v="239.91115615602757"/>
    <n v="0"/>
    <n v="54678.794399999999"/>
    <n v="59348.0556"/>
    <n v="0"/>
    <n v="68731.506393171512"/>
    <n v="58989.35507564406"/>
  </r>
  <r>
    <s v="Regular"/>
    <x v="1"/>
    <x v="2"/>
    <x v="1"/>
    <x v="2"/>
    <x v="0"/>
    <x v="0"/>
    <x v="2"/>
    <x v="0"/>
    <n v="0"/>
    <n v="0"/>
    <n v="0.06"/>
    <n v="0.06"/>
    <n v="0.06"/>
    <n v="0.06"/>
    <n v="0"/>
    <x v="0"/>
    <n v="0"/>
    <n v="0"/>
    <n v="4"/>
    <n v="54"/>
    <n v="0"/>
    <n v="55.3"/>
    <n v="84.48"/>
    <m/>
    <n v="62.769779853286586"/>
    <n v="83.968904654609645"/>
    <n v="0"/>
    <n v="3.3179999999999996"/>
    <n v="5.0688000000000004"/>
    <n v="0"/>
    <n v="3.7661867911971951"/>
    <n v="5.0381342792765782"/>
  </r>
  <r>
    <s v="Regular"/>
    <x v="1"/>
    <x v="2"/>
    <x v="1"/>
    <x v="2"/>
    <x v="0"/>
    <x v="0"/>
    <x v="2"/>
    <x v="1"/>
    <n v="0"/>
    <n v="0"/>
    <n v="0.189"/>
    <n v="0.189"/>
    <n v="0.189"/>
    <n v="0.189"/>
    <n v="1"/>
    <x v="0"/>
    <n v="0"/>
    <n v="0"/>
    <n v="4"/>
    <n v="54"/>
    <n v="0"/>
    <n v="55.3"/>
    <n v="84.48"/>
    <m/>
    <n v="62.769779853286586"/>
    <n v="83.968904654609645"/>
    <n v="0"/>
    <n v="10.451699999999999"/>
    <n v="15.96672"/>
    <n v="0"/>
    <n v="11.863488392271165"/>
    <n v="15.870122979721224"/>
  </r>
  <r>
    <s v="Regular"/>
    <x v="1"/>
    <x v="2"/>
    <x v="1"/>
    <x v="2"/>
    <x v="0"/>
    <x v="0"/>
    <x v="2"/>
    <x v="2"/>
    <n v="0"/>
    <n v="0"/>
    <n v="0.19400000000000001"/>
    <n v="0.19400000000000001"/>
    <n v="0.19400000000000001"/>
    <n v="0.19400000000000001"/>
    <n v="1"/>
    <x v="0"/>
    <n v="0"/>
    <n v="0"/>
    <n v="4"/>
    <n v="54"/>
    <n v="0"/>
    <n v="55.3"/>
    <n v="84.48"/>
    <m/>
    <n v="62.769779853286586"/>
    <n v="83.968904654609645"/>
    <n v="0"/>
    <n v="10.728199999999999"/>
    <n v="16.389120000000002"/>
    <n v="0"/>
    <n v="12.177337291537597"/>
    <n v="16.289967502994273"/>
  </r>
  <r>
    <s v="Regular"/>
    <x v="1"/>
    <x v="2"/>
    <x v="1"/>
    <x v="2"/>
    <x v="0"/>
    <x v="0"/>
    <x v="2"/>
    <x v="3"/>
    <n v="0"/>
    <n v="0"/>
    <n v="0.19400000000000001"/>
    <n v="0.19400000000000001"/>
    <n v="0.19400000000000001"/>
    <n v="0.19400000000000001"/>
    <n v="1"/>
    <x v="0"/>
    <n v="0"/>
    <n v="0"/>
    <n v="4"/>
    <n v="54"/>
    <n v="0"/>
    <n v="55.3"/>
    <n v="84.48"/>
    <m/>
    <n v="62.769779853286586"/>
    <n v="83.968904654609645"/>
    <n v="0"/>
    <n v="10.728199999999999"/>
    <n v="16.389120000000002"/>
    <n v="0"/>
    <n v="12.177337291537597"/>
    <n v="16.289967502994273"/>
  </r>
  <r>
    <s v="Regular"/>
    <x v="1"/>
    <x v="2"/>
    <x v="1"/>
    <x v="2"/>
    <x v="0"/>
    <x v="0"/>
    <x v="2"/>
    <x v="4"/>
    <n v="0"/>
    <n v="0"/>
    <n v="0.19600000000000001"/>
    <n v="0.19600000000000001"/>
    <n v="0.19600000000000001"/>
    <n v="0.19600000000000001"/>
    <n v="1"/>
    <x v="0"/>
    <n v="0"/>
    <n v="0"/>
    <n v="4"/>
    <n v="54"/>
    <n v="0"/>
    <n v="55.3"/>
    <n v="84.48"/>
    <m/>
    <n v="62.769779853286586"/>
    <n v="83.968904654609645"/>
    <n v="0"/>
    <n v="10.838799999999999"/>
    <n v="16.55808"/>
    <n v="0"/>
    <n v="12.302876851244172"/>
    <n v="16.457905312303492"/>
  </r>
  <r>
    <s v="Regular"/>
    <x v="1"/>
    <x v="2"/>
    <x v="1"/>
    <x v="2"/>
    <x v="0"/>
    <x v="0"/>
    <x v="2"/>
    <x v="5"/>
    <n v="0"/>
    <n v="0"/>
    <n v="0.33700000000000002"/>
    <n v="0.33700000000000002"/>
    <n v="0.33700000000000002"/>
    <n v="0.33700000000000002"/>
    <n v="1"/>
    <x v="0"/>
    <n v="0"/>
    <n v="0"/>
    <n v="4"/>
    <n v="54"/>
    <n v="0"/>
    <n v="55.3"/>
    <n v="84.48"/>
    <m/>
    <n v="62.769779853286586"/>
    <n v="83.968904654609645"/>
    <n v="0"/>
    <n v="18.636099999999999"/>
    <n v="28.469760000000004"/>
    <n v="0"/>
    <n v="21.153415810557579"/>
    <n v="28.297520868603453"/>
  </r>
  <r>
    <s v="Regular"/>
    <x v="1"/>
    <x v="2"/>
    <x v="1"/>
    <x v="2"/>
    <x v="0"/>
    <x v="0"/>
    <x v="2"/>
    <x v="6"/>
    <n v="0"/>
    <n v="0"/>
    <n v="0.33"/>
    <n v="0.33"/>
    <n v="0.33"/>
    <n v="0.33"/>
    <n v="1"/>
    <x v="0"/>
    <n v="0"/>
    <n v="0"/>
    <n v="4"/>
    <n v="54"/>
    <n v="0"/>
    <n v="55.3"/>
    <n v="84.48"/>
    <m/>
    <n v="62.769779853286586"/>
    <n v="83.968904654609645"/>
    <n v="0"/>
    <n v="18.248999999999999"/>
    <n v="27.878400000000003"/>
    <n v="0"/>
    <n v="20.714027351584573"/>
    <n v="27.709738536021185"/>
  </r>
  <r>
    <s v="Regular"/>
    <x v="1"/>
    <x v="2"/>
    <x v="1"/>
    <x v="2"/>
    <x v="0"/>
    <x v="0"/>
    <x v="2"/>
    <x v="7"/>
    <n v="0"/>
    <n v="0"/>
    <n v="0.33"/>
    <n v="0.33"/>
    <n v="0.33"/>
    <n v="0.33"/>
    <n v="1"/>
    <x v="0"/>
    <n v="0"/>
    <n v="0"/>
    <n v="4"/>
    <n v="54"/>
    <n v="0"/>
    <n v="55.3"/>
    <n v="84.48"/>
    <m/>
    <n v="62.769779853286586"/>
    <n v="83.968904654609645"/>
    <n v="0"/>
    <n v="18.248999999999999"/>
    <n v="27.878400000000003"/>
    <n v="0"/>
    <n v="20.714027351584573"/>
    <n v="27.709738536021185"/>
  </r>
  <r>
    <s v="Regular"/>
    <x v="1"/>
    <x v="2"/>
    <x v="1"/>
    <x v="2"/>
    <x v="0"/>
    <x v="0"/>
    <x v="2"/>
    <x v="8"/>
    <n v="0"/>
    <n v="0"/>
    <n v="0.33"/>
    <n v="0.33"/>
    <n v="0.33"/>
    <n v="0.33"/>
    <n v="1"/>
    <x v="0"/>
    <n v="0"/>
    <n v="0"/>
    <n v="4"/>
    <n v="54"/>
    <n v="0"/>
    <n v="55.3"/>
    <n v="84.48"/>
    <m/>
    <n v="62.769779853286586"/>
    <n v="83.968904654609645"/>
    <n v="0"/>
    <n v="18.248999999999999"/>
    <n v="27.878400000000003"/>
    <n v="0"/>
    <n v="20.714027351584573"/>
    <n v="27.709738536021185"/>
  </r>
  <r>
    <s v="Regular"/>
    <x v="1"/>
    <x v="2"/>
    <x v="1"/>
    <x v="2"/>
    <x v="0"/>
    <x v="0"/>
    <x v="2"/>
    <x v="9"/>
    <n v="0"/>
    <n v="0"/>
    <n v="0.33"/>
    <n v="0.33"/>
    <n v="0.33"/>
    <n v="0.33"/>
    <n v="1"/>
    <x v="0"/>
    <n v="0"/>
    <n v="0"/>
    <n v="4"/>
    <n v="54"/>
    <n v="0"/>
    <n v="55.3"/>
    <n v="84.48"/>
    <m/>
    <n v="62.769779853286586"/>
    <n v="83.968904654609645"/>
    <n v="0"/>
    <n v="18.248999999999999"/>
    <n v="27.878400000000003"/>
    <n v="0"/>
    <n v="20.714027351584573"/>
    <n v="27.709738536021185"/>
  </r>
  <r>
    <s v="Regular"/>
    <x v="1"/>
    <x v="2"/>
    <x v="1"/>
    <x v="2"/>
    <x v="0"/>
    <x v="0"/>
    <x v="2"/>
    <x v="10"/>
    <n v="0"/>
    <n v="0"/>
    <n v="0.33"/>
    <n v="0.33"/>
    <n v="0.33"/>
    <n v="0.33"/>
    <n v="1"/>
    <x v="0"/>
    <n v="0"/>
    <n v="0"/>
    <n v="4"/>
    <n v="54"/>
    <n v="0"/>
    <n v="55.3"/>
    <n v="84.48"/>
    <m/>
    <n v="62.769779853286586"/>
    <n v="83.968904654609645"/>
    <n v="0"/>
    <n v="18.248999999999999"/>
    <n v="27.878400000000003"/>
    <n v="0"/>
    <n v="20.714027351584573"/>
    <n v="27.709738536021185"/>
  </r>
  <r>
    <s v="Regular"/>
    <x v="1"/>
    <x v="2"/>
    <x v="1"/>
    <x v="2"/>
    <x v="0"/>
    <x v="0"/>
    <x v="2"/>
    <x v="11"/>
    <n v="0"/>
    <n v="0"/>
    <n v="0.185"/>
    <n v="0.185"/>
    <n v="0.185"/>
    <n v="0.185"/>
    <n v="1"/>
    <x v="0"/>
    <n v="0"/>
    <n v="0"/>
    <n v="4"/>
    <n v="54"/>
    <n v="0"/>
    <n v="55.3"/>
    <n v="84.48"/>
    <m/>
    <n v="62.769779853286586"/>
    <n v="83.968904654609645"/>
    <n v="0"/>
    <n v="10.230499999999999"/>
    <n v="15.6288"/>
    <n v="0"/>
    <n v="11.612409272858018"/>
    <n v="15.534247361102784"/>
  </r>
  <r>
    <s v="Regular"/>
    <x v="1"/>
    <x v="2"/>
    <x v="1"/>
    <x v="3"/>
    <x v="0"/>
    <x v="0"/>
    <x v="2"/>
    <x v="0"/>
    <n v="0"/>
    <n v="0"/>
    <n v="8.5999999999999993E-2"/>
    <n v="8.5999999999999993E-2"/>
    <n v="8.5999999999999993E-2"/>
    <n v="8.5999999999999993E-2"/>
    <n v="1"/>
    <x v="0"/>
    <n v="0"/>
    <n v="0"/>
    <n v="26"/>
    <n v="64"/>
    <n v="0"/>
    <n v="94.79"/>
    <n v="144.82"/>
    <m/>
    <n v="107.60533689134844"/>
    <n v="143.94669369361654"/>
    <n v="0"/>
    <n v="8.1519399999999997"/>
    <n v="12.454519999999999"/>
    <n v="0"/>
    <n v="9.2540589726559652"/>
    <n v="12.379415657651021"/>
  </r>
  <r>
    <s v="Regular"/>
    <x v="1"/>
    <x v="2"/>
    <x v="1"/>
    <x v="3"/>
    <x v="0"/>
    <x v="0"/>
    <x v="2"/>
    <x v="1"/>
    <n v="0"/>
    <n v="0"/>
    <n v="0.44600000000000001"/>
    <n v="0.44600000000000001"/>
    <n v="0.44600000000000001"/>
    <n v="0.44600000000000001"/>
    <n v="1"/>
    <x v="0"/>
    <n v="0"/>
    <n v="0"/>
    <n v="26"/>
    <n v="64"/>
    <n v="0"/>
    <n v="94.79"/>
    <n v="144.82"/>
    <m/>
    <n v="107.60533689134844"/>
    <n v="143.94669369361654"/>
    <n v="0"/>
    <n v="42.276340000000005"/>
    <n v="64.58972"/>
    <n v="0"/>
    <n v="47.991980253541406"/>
    <n v="64.200225387352972"/>
  </r>
  <r>
    <s v="Regular"/>
    <x v="1"/>
    <x v="2"/>
    <x v="1"/>
    <x v="3"/>
    <x v="0"/>
    <x v="0"/>
    <x v="2"/>
    <x v="2"/>
    <n v="0"/>
    <n v="0"/>
    <n v="0.36399999999999999"/>
    <n v="0.36399999999999999"/>
    <n v="0.36399999999999999"/>
    <n v="0.36399999999999999"/>
    <n v="1"/>
    <x v="0"/>
    <n v="0"/>
    <n v="0"/>
    <n v="26"/>
    <n v="64"/>
    <n v="0"/>
    <n v="94.79"/>
    <n v="144.82"/>
    <m/>
    <n v="107.60533689134844"/>
    <n v="143.94669369361654"/>
    <n v="0"/>
    <n v="34.50356"/>
    <n v="52.714479999999995"/>
    <n v="0"/>
    <n v="39.16834262845083"/>
    <n v="52.39659650447642"/>
  </r>
  <r>
    <s v="Regular"/>
    <x v="1"/>
    <x v="2"/>
    <x v="1"/>
    <x v="3"/>
    <x v="0"/>
    <x v="0"/>
    <x v="2"/>
    <x v="3"/>
    <n v="0"/>
    <n v="0"/>
    <n v="0.32400000000000001"/>
    <n v="0.32400000000000001"/>
    <n v="0.32400000000000001"/>
    <n v="0.32400000000000001"/>
    <n v="1"/>
    <x v="0"/>
    <n v="0"/>
    <n v="0"/>
    <n v="26"/>
    <n v="64"/>
    <n v="0"/>
    <n v="94.79"/>
    <n v="144.82"/>
    <m/>
    <n v="107.60533689134844"/>
    <n v="143.94669369361654"/>
    <n v="0"/>
    <n v="30.711960000000001"/>
    <n v="46.921680000000002"/>
    <n v="0"/>
    <n v="34.864129152796899"/>
    <n v="46.638728756731759"/>
  </r>
  <r>
    <s v="Regular"/>
    <x v="1"/>
    <x v="2"/>
    <x v="1"/>
    <x v="3"/>
    <x v="0"/>
    <x v="0"/>
    <x v="2"/>
    <x v="4"/>
    <n v="0"/>
    <n v="0"/>
    <n v="0.49199999999999999"/>
    <n v="0.49199999999999999"/>
    <n v="0.49199999999999999"/>
    <n v="0.49199999999999999"/>
    <n v="1"/>
    <x v="0"/>
    <n v="0"/>
    <n v="0"/>
    <n v="26"/>
    <n v="64"/>
    <n v="0"/>
    <n v="94.79"/>
    <n v="144.82"/>
    <m/>
    <n v="107.60533689134844"/>
    <n v="143.94669369361654"/>
    <n v="0"/>
    <n v="46.636680000000005"/>
    <n v="71.251440000000002"/>
    <n v="0"/>
    <n v="52.941825750543437"/>
    <n v="70.821773297259341"/>
  </r>
  <r>
    <s v="Regular"/>
    <x v="1"/>
    <x v="2"/>
    <x v="1"/>
    <x v="3"/>
    <x v="0"/>
    <x v="0"/>
    <x v="2"/>
    <x v="5"/>
    <n v="0"/>
    <n v="0"/>
    <n v="0.56599999999999995"/>
    <n v="0.56599999999999995"/>
    <n v="0.56599999999999995"/>
    <n v="0.56599999999999995"/>
    <n v="2"/>
    <x v="0"/>
    <n v="0"/>
    <n v="0"/>
    <n v="26"/>
    <n v="64"/>
    <n v="0"/>
    <n v="94.79"/>
    <n v="144.82"/>
    <m/>
    <n v="107.60533689134844"/>
    <n v="143.94669369361654"/>
    <n v="0"/>
    <n v="53.651139999999998"/>
    <n v="81.968119999999985"/>
    <n v="0"/>
    <n v="60.904620680503214"/>
    <n v="81.473828630586951"/>
  </r>
  <r>
    <s v="Regular"/>
    <x v="1"/>
    <x v="2"/>
    <x v="1"/>
    <x v="3"/>
    <x v="0"/>
    <x v="0"/>
    <x v="2"/>
    <x v="6"/>
    <n v="0"/>
    <n v="0"/>
    <n v="0.503"/>
    <n v="0.503"/>
    <n v="0.503"/>
    <n v="0.503"/>
    <n v="2"/>
    <x v="0"/>
    <n v="0"/>
    <n v="0"/>
    <n v="26"/>
    <n v="64"/>
    <n v="0"/>
    <n v="94.79"/>
    <n v="144.82"/>
    <m/>
    <n v="107.60533689134844"/>
    <n v="143.94669369361654"/>
    <n v="0"/>
    <n v="47.679370000000006"/>
    <n v="72.844459999999998"/>
    <n v="0"/>
    <n v="54.125484456348268"/>
    <n v="72.405186927889119"/>
  </r>
  <r>
    <s v="Regular"/>
    <x v="1"/>
    <x v="2"/>
    <x v="1"/>
    <x v="3"/>
    <x v="0"/>
    <x v="0"/>
    <x v="2"/>
    <x v="7"/>
    <n v="0"/>
    <n v="0"/>
    <n v="0.56599999999999995"/>
    <n v="0.56599999999999995"/>
    <n v="0.56599999999999995"/>
    <n v="0.56599999999999995"/>
    <n v="2"/>
    <x v="0"/>
    <n v="0"/>
    <n v="0"/>
    <n v="26"/>
    <n v="64"/>
    <n v="0"/>
    <n v="94.79"/>
    <n v="144.82"/>
    <m/>
    <n v="107.60533689134844"/>
    <n v="143.94669369361654"/>
    <n v="0"/>
    <n v="53.651139999999998"/>
    <n v="81.968119999999985"/>
    <n v="0"/>
    <n v="60.904620680503214"/>
    <n v="81.473828630586951"/>
  </r>
  <r>
    <s v="Regular"/>
    <x v="1"/>
    <x v="2"/>
    <x v="1"/>
    <x v="3"/>
    <x v="0"/>
    <x v="0"/>
    <x v="2"/>
    <x v="8"/>
    <n v="0"/>
    <n v="0"/>
    <n v="0.38900000000000001"/>
    <n v="0.38900000000000001"/>
    <n v="0.38900000000000001"/>
    <n v="0.38900000000000001"/>
    <n v="2"/>
    <x v="0"/>
    <n v="0"/>
    <n v="0"/>
    <n v="26"/>
    <n v="64"/>
    <n v="0"/>
    <n v="94.79"/>
    <n v="144.82"/>
    <m/>
    <n v="107.60533689134844"/>
    <n v="143.94669369361654"/>
    <n v="0"/>
    <n v="36.873310000000004"/>
    <n v="56.334980000000002"/>
    <n v="0"/>
    <n v="41.858476050734545"/>
    <n v="55.995263846816833"/>
  </r>
  <r>
    <s v="Regular"/>
    <x v="1"/>
    <x v="2"/>
    <x v="1"/>
    <x v="3"/>
    <x v="0"/>
    <x v="0"/>
    <x v="2"/>
    <x v="9"/>
    <n v="0"/>
    <n v="0"/>
    <n v="0.42399999999999999"/>
    <n v="0.42399999999999999"/>
    <n v="0.42399999999999999"/>
    <n v="0.42399999999999999"/>
    <n v="2"/>
    <x v="0"/>
    <n v="0"/>
    <n v="0"/>
    <n v="26"/>
    <n v="64"/>
    <n v="0"/>
    <n v="94.79"/>
    <n v="144.82"/>
    <m/>
    <n v="107.60533689134844"/>
    <n v="143.94669369361654"/>
    <n v="0"/>
    <n v="40.190960000000004"/>
    <n v="61.403679999999994"/>
    <n v="0"/>
    <n v="45.624662841931737"/>
    <n v="61.03339812609341"/>
  </r>
  <r>
    <s v="Regular"/>
    <x v="1"/>
    <x v="2"/>
    <x v="1"/>
    <x v="3"/>
    <x v="0"/>
    <x v="0"/>
    <x v="2"/>
    <x v="10"/>
    <n v="0"/>
    <n v="0"/>
    <n v="0.33300000000000002"/>
    <n v="0.33300000000000002"/>
    <n v="0.33300000000000002"/>
    <n v="0.33300000000000002"/>
    <n v="2"/>
    <x v="0"/>
    <n v="0"/>
    <n v="0"/>
    <n v="26"/>
    <n v="64"/>
    <n v="0"/>
    <n v="94.79"/>
    <n v="144.82"/>
    <m/>
    <n v="107.60533689134844"/>
    <n v="143.94669369361654"/>
    <n v="0"/>
    <n v="31.565070000000002"/>
    <n v="48.225059999999999"/>
    <n v="0"/>
    <n v="35.832577184819037"/>
    <n v="47.934248999974308"/>
  </r>
  <r>
    <s v="Regular"/>
    <x v="1"/>
    <x v="2"/>
    <x v="1"/>
    <x v="3"/>
    <x v="0"/>
    <x v="0"/>
    <x v="2"/>
    <x v="11"/>
    <n v="0"/>
    <n v="0"/>
    <n v="0.31900000000000001"/>
    <n v="0.31900000000000001"/>
    <n v="0.31900000000000001"/>
    <n v="0.31900000000000001"/>
    <n v="1"/>
    <x v="0"/>
    <n v="0"/>
    <n v="0"/>
    <n v="26"/>
    <n v="64"/>
    <n v="0"/>
    <n v="94.79"/>
    <n v="144.82"/>
    <m/>
    <n v="107.60533689134844"/>
    <n v="143.94669369361654"/>
    <n v="0"/>
    <n v="30.238010000000003"/>
    <n v="46.197580000000002"/>
    <n v="0"/>
    <n v="34.326102468340153"/>
    <n v="45.918995288263673"/>
  </r>
  <r>
    <s v="Regular"/>
    <x v="1"/>
    <x v="2"/>
    <x v="1"/>
    <x v="4"/>
    <x v="0"/>
    <x v="0"/>
    <x v="2"/>
    <x v="0"/>
    <n v="0"/>
    <n v="0"/>
    <n v="0.12"/>
    <n v="0.12"/>
    <n v="0.12"/>
    <n v="0.12"/>
    <n v="0"/>
    <x v="0"/>
    <n v="0"/>
    <n v="0"/>
    <n v="15"/>
    <n v="75"/>
    <n v="0"/>
    <n v="142.19"/>
    <n v="217.24"/>
    <m/>
    <n v="161.40800533702267"/>
    <n v="215.92004054042482"/>
    <n v="0"/>
    <n v="17.062799999999999"/>
    <n v="26.0688"/>
    <n v="0"/>
    <n v="19.368960640442719"/>
    <n v="25.910404864850978"/>
  </r>
  <r>
    <s v="Regular"/>
    <x v="1"/>
    <x v="2"/>
    <x v="1"/>
    <x v="5"/>
    <x v="0"/>
    <x v="0"/>
    <x v="2"/>
    <x v="0"/>
    <n v="0"/>
    <n v="0"/>
    <n v="0.31900000000000001"/>
    <n v="0.31900000000000001"/>
    <n v="0.31900000000000001"/>
    <n v="0.31900000000000001"/>
    <n v="1"/>
    <x v="0"/>
    <n v="0"/>
    <n v="0"/>
    <n v="23"/>
    <n v="70"/>
    <n v="0"/>
    <n v="157.99"/>
    <n v="241.37"/>
    <m/>
    <n v="179.3422281522474"/>
    <n v="239.91115615602757"/>
    <n v="0"/>
    <n v="50.398810000000005"/>
    <n v="76.997030000000009"/>
    <n v="0"/>
    <n v="57.210170780566919"/>
    <n v="76.531658813772793"/>
  </r>
  <r>
    <s v="Regular"/>
    <x v="2"/>
    <x v="2"/>
    <x v="2"/>
    <x v="0"/>
    <x v="0"/>
    <x v="0"/>
    <x v="2"/>
    <x v="0"/>
    <n v="0"/>
    <n v="0"/>
    <n v="54.149000000000001"/>
    <n v="54.149000000000001"/>
    <n v="54.149000000000001"/>
    <n v="54.149000000000001"/>
    <n v="161"/>
    <x v="0"/>
    <n v="0"/>
    <n v="0"/>
    <n v="33"/>
    <n v="66"/>
    <n v="0"/>
    <n v="195.69"/>
    <n v="212.41"/>
    <m/>
    <n v="262.76076138596557"/>
    <n v="225.51648678666589"/>
    <n v="0"/>
    <n v="10596.417810000001"/>
    <n v="11501.78909"/>
    <n v="0"/>
    <n v="14228.23246828865"/>
    <n v="12211.492243011171"/>
  </r>
  <r>
    <s v="Regular"/>
    <x v="2"/>
    <x v="2"/>
    <x v="2"/>
    <x v="0"/>
    <x v="0"/>
    <x v="0"/>
    <x v="2"/>
    <x v="1"/>
    <n v="0"/>
    <n v="0"/>
    <n v="53.856999999999999"/>
    <n v="53.856999999999999"/>
    <n v="53.856999999999999"/>
    <n v="53.856999999999999"/>
    <n v="161"/>
    <x v="0"/>
    <n v="0"/>
    <n v="0"/>
    <n v="33"/>
    <n v="66"/>
    <n v="0"/>
    <n v="195.69"/>
    <n v="212.41"/>
    <m/>
    <n v="262.76076138596557"/>
    <n v="225.51648678666589"/>
    <n v="0"/>
    <n v="10539.276330000001"/>
    <n v="11439.765369999999"/>
    <n v="0"/>
    <n v="14151.506325963946"/>
    <n v="12145.641428869465"/>
  </r>
  <r>
    <s v="Regular"/>
    <x v="2"/>
    <x v="2"/>
    <x v="2"/>
    <x v="0"/>
    <x v="0"/>
    <x v="0"/>
    <x v="2"/>
    <x v="2"/>
    <n v="0"/>
    <n v="0"/>
    <n v="54.054000000000002"/>
    <n v="54.054000000000002"/>
    <n v="54.054000000000002"/>
    <n v="54.054000000000002"/>
    <n v="170"/>
    <x v="0"/>
    <n v="0"/>
    <n v="0"/>
    <n v="33"/>
    <n v="66"/>
    <n v="0"/>
    <n v="195.69"/>
    <n v="212.41"/>
    <m/>
    <n v="262.76076138596557"/>
    <n v="225.51648678666589"/>
    <n v="0"/>
    <n v="10577.82726"/>
    <n v="11481.610140000001"/>
    <n v="0"/>
    <n v="14203.270195956984"/>
    <n v="12190.068176766439"/>
  </r>
  <r>
    <s v="Regular"/>
    <x v="2"/>
    <x v="2"/>
    <x v="2"/>
    <x v="0"/>
    <x v="0"/>
    <x v="0"/>
    <x v="2"/>
    <x v="3"/>
    <n v="0"/>
    <n v="0"/>
    <n v="55.401000000000003"/>
    <n v="55.401000000000003"/>
    <n v="55.401000000000003"/>
    <n v="55.401000000000003"/>
    <n v="168"/>
    <x v="0"/>
    <n v="0"/>
    <n v="0"/>
    <n v="33"/>
    <n v="66"/>
    <n v="0"/>
    <n v="195.69"/>
    <n v="212.41"/>
    <m/>
    <n v="262.76076138596557"/>
    <n v="225.51648678666589"/>
    <n v="0"/>
    <n v="10841.421690000001"/>
    <n v="11767.726410000001"/>
    <n v="0"/>
    <n v="14557.208941543879"/>
    <n v="12493.838884468078"/>
  </r>
  <r>
    <s v="Regular"/>
    <x v="2"/>
    <x v="2"/>
    <x v="2"/>
    <x v="0"/>
    <x v="0"/>
    <x v="0"/>
    <x v="2"/>
    <x v="4"/>
    <n v="0"/>
    <n v="0"/>
    <n v="61.930999999999997"/>
    <n v="61.930999999999997"/>
    <n v="61.930999999999997"/>
    <n v="61.930999999999997"/>
    <n v="168"/>
    <x v="0"/>
    <n v="0"/>
    <n v="0"/>
    <n v="33"/>
    <n v="66"/>
    <n v="0"/>
    <n v="195.69"/>
    <n v="212.41"/>
    <m/>
    <n v="262.76076138596557"/>
    <n v="225.51648678666589"/>
    <n v="0"/>
    <n v="12119.277389999999"/>
    <n v="13154.763709999999"/>
    <n v="0"/>
    <n v="16273.036713394233"/>
    <n v="13966.461543185005"/>
  </r>
  <r>
    <s v="Regular"/>
    <x v="2"/>
    <x v="2"/>
    <x v="2"/>
    <x v="0"/>
    <x v="0"/>
    <x v="0"/>
    <x v="2"/>
    <x v="5"/>
    <n v="0"/>
    <n v="0"/>
    <n v="61.552"/>
    <n v="61.552"/>
    <n v="61.552"/>
    <n v="61.552"/>
    <n v="168"/>
    <x v="0"/>
    <n v="0"/>
    <n v="0"/>
    <n v="33"/>
    <n v="66"/>
    <n v="0"/>
    <n v="195.69"/>
    <n v="212.41"/>
    <m/>
    <n v="262.76076138596557"/>
    <n v="225.51648678666589"/>
    <n v="0"/>
    <n v="12045.11088"/>
    <n v="13074.260319999999"/>
    <n v="0"/>
    <n v="16173.450384828953"/>
    <n v="13880.99079469286"/>
  </r>
  <r>
    <s v="Regular"/>
    <x v="2"/>
    <x v="2"/>
    <x v="2"/>
    <x v="0"/>
    <x v="0"/>
    <x v="0"/>
    <x v="2"/>
    <x v="6"/>
    <n v="0"/>
    <n v="0"/>
    <n v="56.143999999999998"/>
    <n v="56.143999999999998"/>
    <n v="56.143999999999998"/>
    <n v="56.143999999999998"/>
    <n v="159"/>
    <x v="0"/>
    <n v="0"/>
    <n v="0"/>
    <n v="33"/>
    <n v="66"/>
    <n v="0"/>
    <n v="195.69"/>
    <n v="212.41"/>
    <m/>
    <n v="262.76076138596557"/>
    <n v="225.51648678666589"/>
    <n v="0"/>
    <n v="10986.81936"/>
    <n v="11925.547039999999"/>
    <n v="0"/>
    <n v="14752.440187253651"/>
    <n v="12661.39763415057"/>
  </r>
  <r>
    <s v="Regular"/>
    <x v="2"/>
    <x v="2"/>
    <x v="2"/>
    <x v="0"/>
    <x v="0"/>
    <x v="0"/>
    <x v="2"/>
    <x v="7"/>
    <n v="0"/>
    <n v="0"/>
    <n v="58.720999999999997"/>
    <n v="58.720999999999997"/>
    <n v="58.720999999999997"/>
    <n v="58.720999999999997"/>
    <n v="159"/>
    <x v="0"/>
    <n v="0"/>
    <n v="0"/>
    <n v="33"/>
    <n v="66"/>
    <n v="0"/>
    <n v="195.69"/>
    <n v="212.41"/>
    <m/>
    <n v="262.76076138596557"/>
    <n v="225.51648678666589"/>
    <n v="0"/>
    <n v="11491.11249"/>
    <n v="12472.927609999999"/>
    <n v="0"/>
    <n v="15429.574669345284"/>
    <n v="13242.553620599807"/>
  </r>
  <r>
    <s v="Regular"/>
    <x v="2"/>
    <x v="2"/>
    <x v="2"/>
    <x v="0"/>
    <x v="0"/>
    <x v="0"/>
    <x v="2"/>
    <x v="8"/>
    <n v="0"/>
    <n v="0"/>
    <n v="51.926000000000002"/>
    <n v="51.926000000000002"/>
    <n v="51.926000000000002"/>
    <n v="51.926000000000002"/>
    <n v="159"/>
    <x v="0"/>
    <n v="0"/>
    <n v="0"/>
    <n v="33"/>
    <n v="66"/>
    <n v="0"/>
    <n v="195.69"/>
    <n v="212.41"/>
    <m/>
    <n v="262.76076138596557"/>
    <n v="225.51648678666589"/>
    <n v="0"/>
    <n v="10161.398940000001"/>
    <n v="11029.60166"/>
    <n v="0"/>
    <n v="13644.115295727648"/>
    <n v="11710.169092884413"/>
  </r>
  <r>
    <s v="Regular"/>
    <x v="2"/>
    <x v="2"/>
    <x v="2"/>
    <x v="0"/>
    <x v="0"/>
    <x v="0"/>
    <x v="2"/>
    <x v="9"/>
    <n v="0"/>
    <n v="0"/>
    <n v="54.735999999999997"/>
    <n v="54.735999999999997"/>
    <n v="54.735999999999997"/>
    <n v="54.735999999999997"/>
    <n v="158"/>
    <x v="0"/>
    <n v="0"/>
    <n v="0"/>
    <n v="33"/>
    <n v="66"/>
    <n v="0"/>
    <n v="195.69"/>
    <n v="212.41"/>
    <m/>
    <n v="262.76076138596557"/>
    <n v="225.51648678666589"/>
    <n v="0"/>
    <n v="10711.287839999999"/>
    <n v="11626.473759999999"/>
    <n v="0"/>
    <n v="14382.47303522221"/>
    <n v="12343.870420754944"/>
  </r>
  <r>
    <s v="Regular"/>
    <x v="2"/>
    <x v="2"/>
    <x v="2"/>
    <x v="0"/>
    <x v="0"/>
    <x v="0"/>
    <x v="2"/>
    <x v="10"/>
    <n v="0"/>
    <n v="0"/>
    <n v="53.656999999999996"/>
    <n v="53.656999999999996"/>
    <n v="53.656999999999996"/>
    <n v="53.656999999999996"/>
    <n v="158"/>
    <x v="0"/>
    <n v="0"/>
    <n v="0"/>
    <n v="33"/>
    <n v="66"/>
    <n v="0"/>
    <n v="195.69"/>
    <n v="212.41"/>
    <m/>
    <n v="262.76076138596557"/>
    <n v="225.51648678666589"/>
    <n v="0"/>
    <n v="10500.13833"/>
    <n v="11397.283369999999"/>
    <n v="0"/>
    <n v="14098.954173686754"/>
    <n v="12100.53813151213"/>
  </r>
  <r>
    <s v="Regular"/>
    <x v="2"/>
    <x v="2"/>
    <x v="2"/>
    <x v="0"/>
    <x v="0"/>
    <x v="0"/>
    <x v="2"/>
    <x v="11"/>
    <n v="0"/>
    <n v="0"/>
    <n v="52.451999999999998"/>
    <n v="52.451999999999998"/>
    <n v="52.451999999999998"/>
    <n v="52.451999999999998"/>
    <n v="158"/>
    <x v="0"/>
    <n v="0"/>
    <n v="0"/>
    <n v="33"/>
    <n v="66"/>
    <n v="0"/>
    <n v="195.69"/>
    <n v="212.41"/>
    <m/>
    <n v="262.76076138596557"/>
    <n v="225.51648678666589"/>
    <n v="0"/>
    <n v="10264.33188"/>
    <n v="11141.329319999999"/>
    <n v="0"/>
    <n v="13782.327456216666"/>
    <n v="11828.7907649342"/>
  </r>
  <r>
    <s v="Regular"/>
    <x v="3"/>
    <x v="2"/>
    <x v="3"/>
    <x v="0"/>
    <x v="0"/>
    <x v="0"/>
    <x v="2"/>
    <x v="0"/>
    <n v="0"/>
    <n v="0"/>
    <n v="20.841000000000001"/>
    <n v="20.841000000000001"/>
    <n v="20.841000000000001"/>
    <n v="20.841000000000001"/>
    <n v="52"/>
    <x v="0"/>
    <n v="0"/>
    <n v="0"/>
    <n v="39"/>
    <n v="80"/>
    <n v="0"/>
    <n v="222.38"/>
    <n v="241.37"/>
    <m/>
    <n v="279.53272487868679"/>
    <n v="239.91115615602757"/>
    <n v="0"/>
    <n v="4634.62158"/>
    <n v="5030.3921700000001"/>
    <n v="0"/>
    <n v="5825.741519196712"/>
    <n v="4999.9884054477707"/>
  </r>
  <r>
    <s v="Regular"/>
    <x v="3"/>
    <x v="2"/>
    <x v="3"/>
    <x v="0"/>
    <x v="0"/>
    <x v="0"/>
    <x v="2"/>
    <x v="1"/>
    <n v="0"/>
    <n v="0"/>
    <n v="22.224"/>
    <n v="22.224"/>
    <n v="22.224"/>
    <n v="22.224"/>
    <n v="52"/>
    <x v="0"/>
    <n v="0"/>
    <n v="0"/>
    <n v="39"/>
    <n v="80"/>
    <n v="0"/>
    <n v="222.38"/>
    <n v="241.37"/>
    <m/>
    <n v="279.53272487868679"/>
    <n v="239.91115615602757"/>
    <n v="0"/>
    <n v="4942.1731200000004"/>
    <n v="5364.2068799999997"/>
    <n v="0"/>
    <n v="6212.3352777039354"/>
    <n v="5331.7855344115569"/>
  </r>
  <r>
    <s v="Regular"/>
    <x v="3"/>
    <x v="2"/>
    <x v="3"/>
    <x v="0"/>
    <x v="0"/>
    <x v="0"/>
    <x v="2"/>
    <x v="2"/>
    <n v="0"/>
    <n v="0"/>
    <n v="21.158000000000001"/>
    <n v="21.158000000000001"/>
    <n v="21.158000000000001"/>
    <n v="21.158000000000001"/>
    <n v="52"/>
    <x v="0"/>
    <n v="0"/>
    <n v="0"/>
    <n v="39"/>
    <n v="80"/>
    <n v="0"/>
    <n v="222.38"/>
    <n v="241.37"/>
    <m/>
    <n v="279.53272487868679"/>
    <n v="239.91115615602757"/>
    <n v="0"/>
    <n v="4705.1160399999999"/>
    <n v="5106.9064600000002"/>
    <n v="0"/>
    <n v="5914.3533929832556"/>
    <n v="5076.040241949232"/>
  </r>
  <r>
    <s v="Regular"/>
    <x v="3"/>
    <x v="2"/>
    <x v="3"/>
    <x v="0"/>
    <x v="0"/>
    <x v="0"/>
    <x v="2"/>
    <x v="3"/>
    <n v="0"/>
    <n v="0"/>
    <n v="23.998000000000001"/>
    <n v="23.998000000000001"/>
    <n v="23.998000000000001"/>
    <n v="23.998000000000001"/>
    <n v="52"/>
    <x v="0"/>
    <n v="0"/>
    <n v="0"/>
    <n v="39"/>
    <n v="80"/>
    <n v="0"/>
    <n v="222.38"/>
    <n v="241.37"/>
    <m/>
    <n v="279.53272487868679"/>
    <n v="239.91115615602757"/>
    <n v="0"/>
    <n v="5336.6752400000005"/>
    <n v="5792.3972600000006"/>
    <n v="0"/>
    <n v="6708.2263316387262"/>
    <n v="5757.3879254323501"/>
  </r>
  <r>
    <s v="Regular"/>
    <x v="3"/>
    <x v="2"/>
    <x v="3"/>
    <x v="0"/>
    <x v="0"/>
    <x v="0"/>
    <x v="2"/>
    <x v="4"/>
    <n v="0"/>
    <n v="0"/>
    <n v="26.010999999999999"/>
    <n v="26.010999999999999"/>
    <n v="26.010999999999999"/>
    <n v="26.010999999999999"/>
    <n v="52"/>
    <x v="0"/>
    <n v="0"/>
    <n v="0"/>
    <n v="39"/>
    <n v="80"/>
    <n v="0"/>
    <n v="222.38"/>
    <n v="241.37"/>
    <m/>
    <n v="279.53272487868679"/>
    <n v="239.91115615602757"/>
    <n v="0"/>
    <n v="5784.32618"/>
    <n v="6278.2750699999997"/>
    <n v="0"/>
    <n v="7270.925706819522"/>
    <n v="6240.3290827744331"/>
  </r>
  <r>
    <s v="Regular"/>
    <x v="3"/>
    <x v="2"/>
    <x v="3"/>
    <x v="0"/>
    <x v="0"/>
    <x v="0"/>
    <x v="2"/>
    <x v="5"/>
    <n v="0"/>
    <n v="0"/>
    <n v="30.187000000000001"/>
    <n v="30.187000000000001"/>
    <n v="30.187000000000001"/>
    <n v="30.187000000000001"/>
    <n v="52"/>
    <x v="0"/>
    <n v="0"/>
    <n v="0"/>
    <n v="39"/>
    <n v="80"/>
    <n v="0"/>
    <n v="222.38"/>
    <n v="241.37"/>
    <m/>
    <n v="279.53272487868679"/>
    <n v="239.91115615602757"/>
    <n v="0"/>
    <n v="6712.98506"/>
    <n v="7286.2361900000005"/>
    <n v="0"/>
    <n v="8438.2543659129187"/>
    <n v="7242.1980708820047"/>
  </r>
  <r>
    <s v="Regular"/>
    <x v="3"/>
    <x v="2"/>
    <x v="3"/>
    <x v="0"/>
    <x v="0"/>
    <x v="0"/>
    <x v="2"/>
    <x v="6"/>
    <n v="0"/>
    <n v="0"/>
    <n v="28.289000000000001"/>
    <n v="28.289000000000001"/>
    <n v="28.289000000000001"/>
    <n v="28.289000000000001"/>
    <n v="52"/>
    <x v="0"/>
    <n v="0"/>
    <n v="0"/>
    <n v="39"/>
    <n v="80"/>
    <n v="0"/>
    <n v="222.38"/>
    <n v="241.37"/>
    <m/>
    <n v="279.53272487868679"/>
    <n v="239.91115615602757"/>
    <n v="0"/>
    <n v="6290.9078200000004"/>
    <n v="6828.1159300000008"/>
    <n v="0"/>
    <n v="7907.701254093171"/>
    <n v="6786.8466964978643"/>
  </r>
  <r>
    <s v="Regular"/>
    <x v="3"/>
    <x v="2"/>
    <x v="3"/>
    <x v="0"/>
    <x v="0"/>
    <x v="0"/>
    <x v="2"/>
    <x v="7"/>
    <n v="0"/>
    <n v="0"/>
    <n v="27.173999999999999"/>
    <n v="27.173999999999999"/>
    <n v="27.173999999999999"/>
    <n v="27.173999999999999"/>
    <n v="52"/>
    <x v="0"/>
    <n v="0"/>
    <n v="0"/>
    <n v="39"/>
    <n v="80"/>
    <n v="0"/>
    <n v="222.38"/>
    <n v="241.37"/>
    <m/>
    <n v="279.53272487868679"/>
    <n v="239.91115615602757"/>
    <n v="0"/>
    <n v="6042.9541199999994"/>
    <n v="6558.9883799999998"/>
    <n v="0"/>
    <n v="7596.0222658534349"/>
    <n v="6519.3457573838932"/>
  </r>
  <r>
    <s v="Regular"/>
    <x v="3"/>
    <x v="2"/>
    <x v="3"/>
    <x v="0"/>
    <x v="0"/>
    <x v="0"/>
    <x v="2"/>
    <x v="8"/>
    <n v="0"/>
    <n v="0"/>
    <n v="24.038"/>
    <n v="24.038"/>
    <n v="24.038"/>
    <n v="24.038"/>
    <n v="54"/>
    <x v="0"/>
    <n v="0"/>
    <n v="0"/>
    <n v="39"/>
    <n v="80"/>
    <n v="0"/>
    <n v="222.38"/>
    <n v="241.37"/>
    <m/>
    <n v="279.53272487868679"/>
    <n v="239.91115615602757"/>
    <n v="0"/>
    <n v="5345.5704399999995"/>
    <n v="5802.05206"/>
    <n v="0"/>
    <n v="6719.4076406338736"/>
    <n v="5766.9843716785908"/>
  </r>
  <r>
    <s v="Regular"/>
    <x v="3"/>
    <x v="2"/>
    <x v="3"/>
    <x v="0"/>
    <x v="0"/>
    <x v="0"/>
    <x v="2"/>
    <x v="9"/>
    <n v="0"/>
    <n v="0"/>
    <n v="22.826000000000001"/>
    <n v="22.826000000000001"/>
    <n v="22.826000000000001"/>
    <n v="22.826000000000001"/>
    <n v="55"/>
    <x v="0"/>
    <n v="0"/>
    <n v="0"/>
    <n v="39"/>
    <n v="80"/>
    <n v="0"/>
    <n v="222.38"/>
    <n v="241.37"/>
    <m/>
    <n v="279.53272487868679"/>
    <n v="239.91115615602757"/>
    <n v="0"/>
    <n v="5076.0458799999997"/>
    <n v="5509.5116200000002"/>
    <n v="0"/>
    <n v="6380.6139780809044"/>
    <n v="5476.2120504174854"/>
  </r>
  <r>
    <s v="Regular"/>
    <x v="3"/>
    <x v="2"/>
    <x v="3"/>
    <x v="0"/>
    <x v="0"/>
    <x v="0"/>
    <x v="2"/>
    <x v="10"/>
    <n v="0"/>
    <n v="0"/>
    <n v="22.486000000000001"/>
    <n v="22.486000000000001"/>
    <n v="22.486000000000001"/>
    <n v="22.486000000000001"/>
    <n v="55"/>
    <x v="0"/>
    <n v="0"/>
    <n v="0"/>
    <n v="39"/>
    <n v="80"/>
    <n v="0"/>
    <n v="222.38"/>
    <n v="241.37"/>
    <m/>
    <n v="279.53272487868679"/>
    <n v="239.91115615602757"/>
    <n v="0"/>
    <n v="5000.4366799999998"/>
    <n v="5427.4458199999999"/>
    <n v="0"/>
    <n v="6285.5728516221516"/>
    <n v="5394.6422573244363"/>
  </r>
  <r>
    <s v="Regular"/>
    <x v="3"/>
    <x v="2"/>
    <x v="3"/>
    <x v="0"/>
    <x v="0"/>
    <x v="0"/>
    <x v="2"/>
    <x v="11"/>
    <n v="0"/>
    <n v="0"/>
    <n v="24.277999999999999"/>
    <n v="24.277999999999999"/>
    <n v="24.277999999999999"/>
    <n v="24.277999999999999"/>
    <n v="55"/>
    <x v="0"/>
    <n v="0"/>
    <n v="0"/>
    <n v="39"/>
    <n v="80"/>
    <n v="0"/>
    <n v="222.38"/>
    <n v="241.37"/>
    <m/>
    <n v="279.53272487868679"/>
    <n v="239.91115615602757"/>
    <n v="0"/>
    <n v="5398.94164"/>
    <n v="5859.9808599999997"/>
    <n v="0"/>
    <n v="6786.4954946047574"/>
    <n v="5824.5630491560369"/>
  </r>
  <r>
    <s v="Regular"/>
    <x v="3"/>
    <x v="2"/>
    <x v="0"/>
    <x v="0"/>
    <x v="0"/>
    <x v="0"/>
    <x v="2"/>
    <x v="0"/>
    <n v="0"/>
    <n v="0"/>
    <n v="92.442999999999998"/>
    <n v="92.442999999999998"/>
    <n v="92.442999999999998"/>
    <n v="92.442999999999998"/>
    <n v="33"/>
    <x v="0"/>
    <n v="0"/>
    <n v="0"/>
    <n v="39"/>
    <n v="80"/>
    <n v="0"/>
    <n v="222.38"/>
    <n v="241.37"/>
    <m/>
    <n v="279.53272487868679"/>
    <n v="239.91115615602757"/>
    <n v="0"/>
    <n v="20557.474340000001"/>
    <n v="22312.966909999999"/>
    <n v="0"/>
    <n v="25840.843685960441"/>
    <n v="22178.107008531657"/>
  </r>
  <r>
    <s v="Regular"/>
    <x v="3"/>
    <x v="2"/>
    <x v="0"/>
    <x v="0"/>
    <x v="0"/>
    <x v="0"/>
    <x v="2"/>
    <x v="1"/>
    <n v="0"/>
    <n v="0"/>
    <n v="91.703999999999994"/>
    <n v="91.703999999999994"/>
    <n v="91.703999999999994"/>
    <n v="91.703999999999994"/>
    <n v="34"/>
    <x v="0"/>
    <n v="0"/>
    <n v="0"/>
    <n v="39"/>
    <n v="80"/>
    <n v="0"/>
    <n v="222.38"/>
    <n v="241.37"/>
    <m/>
    <n v="279.53272487868679"/>
    <n v="239.91115615602757"/>
    <n v="0"/>
    <n v="20393.13552"/>
    <n v="22134.59448"/>
    <n v="0"/>
    <n v="25634.26900227509"/>
    <n v="22000.812664132351"/>
  </r>
  <r>
    <s v="Regular"/>
    <x v="3"/>
    <x v="2"/>
    <x v="0"/>
    <x v="0"/>
    <x v="0"/>
    <x v="0"/>
    <x v="2"/>
    <x v="2"/>
    <n v="0"/>
    <n v="0"/>
    <n v="81.534999999999997"/>
    <n v="81.534999999999997"/>
    <n v="81.534999999999997"/>
    <n v="81.534999999999997"/>
    <n v="34"/>
    <x v="0"/>
    <n v="0"/>
    <n v="0"/>
    <n v="39"/>
    <n v="80"/>
    <n v="0"/>
    <n v="222.38"/>
    <n v="241.37"/>
    <m/>
    <n v="279.53272487868679"/>
    <n v="239.91115615602757"/>
    <n v="0"/>
    <n v="18131.7533"/>
    <n v="19680.10295"/>
    <n v="0"/>
    <n v="22791.700722983725"/>
    <n v="19561.156117181708"/>
  </r>
  <r>
    <s v="Regular"/>
    <x v="3"/>
    <x v="2"/>
    <x v="0"/>
    <x v="0"/>
    <x v="0"/>
    <x v="0"/>
    <x v="2"/>
    <x v="3"/>
    <n v="0"/>
    <n v="0"/>
    <n v="88.182000000000002"/>
    <n v="88.182000000000002"/>
    <n v="88.182000000000002"/>
    <n v="88.182000000000002"/>
    <n v="34"/>
    <x v="0"/>
    <n v="0"/>
    <n v="0"/>
    <n v="39"/>
    <n v="80"/>
    <n v="0"/>
    <n v="222.38"/>
    <n v="241.37"/>
    <m/>
    <n v="279.53272487868679"/>
    <n v="239.91115615602757"/>
    <n v="0"/>
    <n v="19609.91316"/>
    <n v="21284.48934"/>
    <n v="0"/>
    <n v="24649.754745252358"/>
    <n v="21155.845572150825"/>
  </r>
  <r>
    <s v="Regular"/>
    <x v="3"/>
    <x v="2"/>
    <x v="0"/>
    <x v="0"/>
    <x v="0"/>
    <x v="0"/>
    <x v="2"/>
    <x v="4"/>
    <n v="0"/>
    <n v="0"/>
    <n v="53.51"/>
    <n v="53.51"/>
    <n v="53.51"/>
    <n v="53.51"/>
    <n v="35"/>
    <x v="0"/>
    <n v="0"/>
    <n v="0"/>
    <n v="39"/>
    <n v="80"/>
    <n v="0"/>
    <n v="222.38"/>
    <n v="241.37"/>
    <m/>
    <n v="279.53272487868679"/>
    <n v="239.91115615602757"/>
    <n v="0"/>
    <n v="11899.5538"/>
    <n v="12915.708699999999"/>
    <n v="0"/>
    <n v="14957.79610825853"/>
    <n v="12837.645965909034"/>
  </r>
  <r>
    <s v="Regular"/>
    <x v="3"/>
    <x v="2"/>
    <x v="0"/>
    <x v="0"/>
    <x v="0"/>
    <x v="0"/>
    <x v="2"/>
    <x v="5"/>
    <n v="0"/>
    <n v="0"/>
    <n v="73.861000000000004"/>
    <n v="73.861000000000004"/>
    <n v="73.861000000000004"/>
    <n v="73.861000000000004"/>
    <n v="36"/>
    <x v="0"/>
    <n v="0"/>
    <n v="0"/>
    <n v="39"/>
    <n v="80"/>
    <n v="0"/>
    <n v="222.38"/>
    <n v="241.37"/>
    <m/>
    <n v="279.53272487868679"/>
    <n v="239.91115615602757"/>
    <n v="0"/>
    <n v="16425.209180000002"/>
    <n v="17827.829570000002"/>
    <n v="0"/>
    <n v="20646.566592264688"/>
    <n v="17720.077904840353"/>
  </r>
  <r>
    <s v="Regular"/>
    <x v="3"/>
    <x v="2"/>
    <x v="0"/>
    <x v="0"/>
    <x v="0"/>
    <x v="0"/>
    <x v="2"/>
    <x v="6"/>
    <n v="0"/>
    <n v="0"/>
    <n v="83.23"/>
    <n v="83.23"/>
    <n v="83.23"/>
    <n v="83.23"/>
    <n v="35"/>
    <x v="0"/>
    <n v="0"/>
    <n v="0"/>
    <n v="39"/>
    <n v="80"/>
    <n v="0"/>
    <n v="222.38"/>
    <n v="241.37"/>
    <m/>
    <n v="279.53272487868679"/>
    <n v="239.91115615602757"/>
    <n v="0"/>
    <n v="18508.687399999999"/>
    <n v="20089.2251"/>
    <n v="0"/>
    <n v="23265.508691653104"/>
    <n v="19967.805526866177"/>
  </r>
  <r>
    <s v="Regular"/>
    <x v="3"/>
    <x v="2"/>
    <x v="0"/>
    <x v="0"/>
    <x v="0"/>
    <x v="0"/>
    <x v="2"/>
    <x v="7"/>
    <n v="0"/>
    <n v="0"/>
    <n v="98.191000000000003"/>
    <n v="98.191000000000003"/>
    <n v="98.191000000000003"/>
    <n v="98.191000000000003"/>
    <n v="35"/>
    <x v="0"/>
    <n v="0"/>
    <n v="0"/>
    <n v="39"/>
    <n v="80"/>
    <n v="0"/>
    <n v="222.38"/>
    <n v="241.37"/>
    <m/>
    <n v="279.53272487868679"/>
    <n v="239.91115615602757"/>
    <n v="0"/>
    <n v="21835.71458"/>
    <n v="23700.361670000002"/>
    <n v="0"/>
    <n v="27447.597788563136"/>
    <n v="23557.116334116505"/>
  </r>
  <r>
    <s v="Regular"/>
    <x v="3"/>
    <x v="2"/>
    <x v="0"/>
    <x v="0"/>
    <x v="0"/>
    <x v="0"/>
    <x v="2"/>
    <x v="8"/>
    <n v="0"/>
    <n v="0"/>
    <n v="72.741"/>
    <n v="72.741"/>
    <n v="72.741"/>
    <n v="72.741"/>
    <n v="35"/>
    <x v="0"/>
    <n v="0"/>
    <n v="0"/>
    <n v="39"/>
    <n v="80"/>
    <n v="0"/>
    <n v="222.38"/>
    <n v="241.37"/>
    <m/>
    <n v="279.53272487868679"/>
    <n v="239.91115615602757"/>
    <n v="0"/>
    <n v="16176.14358"/>
    <n v="17557.495170000002"/>
    <n v="0"/>
    <n v="20333.489940400555"/>
    <n v="17451.377409945602"/>
  </r>
  <r>
    <s v="Regular"/>
    <x v="3"/>
    <x v="2"/>
    <x v="0"/>
    <x v="0"/>
    <x v="0"/>
    <x v="0"/>
    <x v="2"/>
    <x v="9"/>
    <n v="0"/>
    <n v="0"/>
    <n v="81.388999999999996"/>
    <n v="81.388999999999996"/>
    <n v="81.388999999999996"/>
    <n v="81.388999999999996"/>
    <n v="36"/>
    <x v="0"/>
    <n v="0"/>
    <n v="0"/>
    <n v="39"/>
    <n v="80"/>
    <n v="0"/>
    <n v="222.38"/>
    <n v="241.37"/>
    <m/>
    <n v="279.53272487868679"/>
    <n v="239.91115615602757"/>
    <n v="0"/>
    <n v="18099.285819999997"/>
    <n v="19644.862929999999"/>
    <n v="0"/>
    <n v="22750.888945151437"/>
    <n v="19526.129088382928"/>
  </r>
  <r>
    <s v="Regular"/>
    <x v="3"/>
    <x v="2"/>
    <x v="0"/>
    <x v="0"/>
    <x v="0"/>
    <x v="0"/>
    <x v="2"/>
    <x v="10"/>
    <n v="0"/>
    <n v="0"/>
    <n v="73.849000000000004"/>
    <n v="73.849000000000004"/>
    <n v="73.849000000000004"/>
    <n v="73.849000000000004"/>
    <n v="36"/>
    <x v="0"/>
    <n v="0"/>
    <n v="0"/>
    <n v="39"/>
    <n v="80"/>
    <n v="0"/>
    <n v="222.38"/>
    <n v="241.37"/>
    <m/>
    <n v="279.53272487868679"/>
    <n v="239.91115615602757"/>
    <n v="0"/>
    <n v="16422.54062"/>
    <n v="17824.933130000001"/>
    <n v="0"/>
    <n v="20643.212199566144"/>
    <n v="17717.198970966481"/>
  </r>
  <r>
    <s v="Regular"/>
    <x v="3"/>
    <x v="2"/>
    <x v="0"/>
    <x v="0"/>
    <x v="0"/>
    <x v="0"/>
    <x v="2"/>
    <x v="11"/>
    <n v="0"/>
    <n v="0"/>
    <n v="79.763999999999996"/>
    <n v="79.763999999999996"/>
    <n v="79.763999999999996"/>
    <n v="79.763999999999996"/>
    <n v="37"/>
    <x v="0"/>
    <n v="0"/>
    <n v="0"/>
    <n v="39"/>
    <n v="80"/>
    <n v="0"/>
    <n v="222.38"/>
    <n v="241.37"/>
    <m/>
    <n v="279.53272487868679"/>
    <n v="239.91115615602757"/>
    <n v="0"/>
    <n v="17737.918319999997"/>
    <n v="19252.63668"/>
    <n v="0"/>
    <n v="22296.648267223572"/>
    <n v="19136.273459629381"/>
  </r>
  <r>
    <s v="Regular"/>
    <x v="3"/>
    <x v="2"/>
    <x v="4"/>
    <x v="0"/>
    <x v="0"/>
    <x v="0"/>
    <x v="2"/>
    <x v="0"/>
    <n v="0"/>
    <n v="0"/>
    <n v="6.6059999999999999"/>
    <n v="6.6059999999999999"/>
    <n v="6.6059999999999999"/>
    <n v="6.6059999999999999"/>
    <n v="14"/>
    <x v="0"/>
    <n v="0"/>
    <n v="0"/>
    <n v="39"/>
    <n v="80"/>
    <n v="0"/>
    <n v="222.38"/>
    <n v="241.37"/>
    <m/>
    <n v="279.53272487868679"/>
    <n v="239.91115615602757"/>
    <n v="0"/>
    <n v="1469.0422799999999"/>
    <n v="1594.4902199999999"/>
    <n v="0"/>
    <n v="1846.593180548605"/>
    <n v="1584.8530975667181"/>
  </r>
  <r>
    <s v="Regular"/>
    <x v="3"/>
    <x v="2"/>
    <x v="4"/>
    <x v="0"/>
    <x v="0"/>
    <x v="0"/>
    <x v="2"/>
    <x v="1"/>
    <n v="0"/>
    <n v="0"/>
    <n v="6.6189999999999998"/>
    <n v="6.6189999999999998"/>
    <n v="6.6189999999999998"/>
    <n v="6.6189999999999998"/>
    <n v="14"/>
    <x v="0"/>
    <n v="0"/>
    <n v="0"/>
    <n v="39"/>
    <n v="80"/>
    <n v="0"/>
    <n v="222.38"/>
    <n v="241.37"/>
    <m/>
    <n v="279.53272487868679"/>
    <n v="239.91115615602757"/>
    <n v="0"/>
    <n v="1471.9332199999999"/>
    <n v="1597.6280300000001"/>
    <n v="0"/>
    <n v="1850.2271059720279"/>
    <n v="1587.9719425967464"/>
  </r>
  <r>
    <s v="Regular"/>
    <x v="3"/>
    <x v="2"/>
    <x v="4"/>
    <x v="0"/>
    <x v="0"/>
    <x v="0"/>
    <x v="2"/>
    <x v="2"/>
    <n v="0"/>
    <n v="0"/>
    <n v="6.8410000000000002"/>
    <n v="6.8410000000000002"/>
    <n v="6.8410000000000002"/>
    <n v="6.8410000000000002"/>
    <n v="14"/>
    <x v="0"/>
    <n v="0"/>
    <n v="0"/>
    <n v="39"/>
    <n v="80"/>
    <n v="0"/>
    <n v="222.38"/>
    <n v="241.37"/>
    <m/>
    <n v="279.53272487868679"/>
    <n v="239.91115615602757"/>
    <n v="0"/>
    <n v="1521.3015800000001"/>
    <n v="1651.21217"/>
    <n v="0"/>
    <n v="1912.2833708950964"/>
    <n v="1641.2322192633846"/>
  </r>
  <r>
    <s v="Regular"/>
    <x v="3"/>
    <x v="2"/>
    <x v="4"/>
    <x v="0"/>
    <x v="0"/>
    <x v="0"/>
    <x v="2"/>
    <x v="3"/>
    <n v="0"/>
    <n v="0"/>
    <n v="7.8449999999999998"/>
    <n v="7.8449999999999998"/>
    <n v="7.8449999999999998"/>
    <n v="7.8449999999999998"/>
    <n v="14"/>
    <x v="0"/>
    <n v="0"/>
    <n v="0"/>
    <n v="39"/>
    <n v="80"/>
    <n v="0"/>
    <n v="222.38"/>
    <n v="241.37"/>
    <m/>
    <n v="279.53272487868679"/>
    <n v="239.91115615602757"/>
    <n v="0"/>
    <n v="1744.5710999999999"/>
    <n v="1893.54765"/>
    <n v="0"/>
    <n v="2192.9342266732979"/>
    <n v="1882.1030200440362"/>
  </r>
  <r>
    <s v="Regular"/>
    <x v="3"/>
    <x v="2"/>
    <x v="4"/>
    <x v="0"/>
    <x v="0"/>
    <x v="0"/>
    <x v="2"/>
    <x v="4"/>
    <n v="0"/>
    <n v="0"/>
    <n v="7.9379999999999997"/>
    <n v="7.9379999999999997"/>
    <n v="7.9379999999999997"/>
    <n v="7.9379999999999997"/>
    <n v="15"/>
    <x v="0"/>
    <n v="0"/>
    <n v="0"/>
    <n v="39"/>
    <n v="80"/>
    <n v="0"/>
    <n v="222.38"/>
    <n v="241.37"/>
    <m/>
    <n v="279.53272487868679"/>
    <n v="239.91115615602757"/>
    <n v="0"/>
    <n v="1765.25244"/>
    <n v="1915.99506"/>
    <n v="0"/>
    <n v="2218.9307700870158"/>
    <n v="1904.4147575665468"/>
  </r>
  <r>
    <s v="Regular"/>
    <x v="3"/>
    <x v="2"/>
    <x v="4"/>
    <x v="0"/>
    <x v="0"/>
    <x v="0"/>
    <x v="2"/>
    <x v="5"/>
    <n v="0"/>
    <n v="0"/>
    <n v="10.428000000000001"/>
    <n v="10.428000000000001"/>
    <n v="10.428000000000001"/>
    <n v="10.428000000000001"/>
    <n v="15"/>
    <x v="0"/>
    <n v="0"/>
    <n v="0"/>
    <n v="39"/>
    <n v="80"/>
    <n v="0"/>
    <n v="222.38"/>
    <n v="241.37"/>
    <m/>
    <n v="279.53272487868679"/>
    <n v="239.91115615602757"/>
    <n v="0"/>
    <n v="2318.9786400000003"/>
    <n v="2517.0063600000003"/>
    <n v="0"/>
    <n v="2914.967255034946"/>
    <n v="2501.7935363950555"/>
  </r>
  <r>
    <s v="Regular"/>
    <x v="3"/>
    <x v="2"/>
    <x v="4"/>
    <x v="0"/>
    <x v="0"/>
    <x v="0"/>
    <x v="2"/>
    <x v="6"/>
    <n v="0"/>
    <n v="0"/>
    <n v="13.288"/>
    <n v="13.288"/>
    <n v="13.288"/>
    <n v="13.288"/>
    <n v="15"/>
    <x v="0"/>
    <n v="0"/>
    <n v="0"/>
    <n v="39"/>
    <n v="80"/>
    <n v="0"/>
    <n v="222.38"/>
    <n v="241.37"/>
    <m/>
    <n v="279.53272487868679"/>
    <n v="239.91115615602757"/>
    <n v="0"/>
    <n v="2954.9854399999999"/>
    <n v="3207.32456"/>
    <n v="0"/>
    <n v="3714.4308481879903"/>
    <n v="3187.9394430012944"/>
  </r>
  <r>
    <s v="Regular"/>
    <x v="3"/>
    <x v="2"/>
    <x v="4"/>
    <x v="0"/>
    <x v="0"/>
    <x v="0"/>
    <x v="2"/>
    <x v="7"/>
    <n v="0"/>
    <n v="0"/>
    <n v="10.308999999999999"/>
    <n v="10.308999999999999"/>
    <n v="10.308999999999999"/>
    <n v="10.308999999999999"/>
    <n v="15"/>
    <x v="0"/>
    <n v="0"/>
    <n v="0"/>
    <n v="39"/>
    <n v="80"/>
    <n v="0"/>
    <n v="222.38"/>
    <n v="241.37"/>
    <m/>
    <n v="279.53272487868679"/>
    <n v="239.91115615602757"/>
    <n v="0"/>
    <n v="2292.5154199999997"/>
    <n v="2488.2833299999998"/>
    <n v="0"/>
    <n v="2881.7028607743819"/>
    <n v="2473.2441088124879"/>
  </r>
  <r>
    <s v="Regular"/>
    <x v="3"/>
    <x v="2"/>
    <x v="4"/>
    <x v="0"/>
    <x v="0"/>
    <x v="0"/>
    <x v="2"/>
    <x v="8"/>
    <n v="0"/>
    <n v="0"/>
    <n v="8.0749999999999993"/>
    <n v="8.0749999999999993"/>
    <n v="8.0749999999999993"/>
    <n v="8.0749999999999993"/>
    <n v="15"/>
    <x v="0"/>
    <n v="0"/>
    <n v="0"/>
    <n v="39"/>
    <n v="80"/>
    <n v="0"/>
    <n v="222.38"/>
    <n v="241.37"/>
    <m/>
    <n v="279.53272487868679"/>
    <n v="239.91115615602757"/>
    <n v="0"/>
    <n v="1795.7184999999997"/>
    <n v="1949.0627499999998"/>
    <n v="0"/>
    <n v="2257.2267533953955"/>
    <n v="1937.2825859599225"/>
  </r>
  <r>
    <s v="Regular"/>
    <x v="3"/>
    <x v="2"/>
    <x v="4"/>
    <x v="0"/>
    <x v="0"/>
    <x v="0"/>
    <x v="2"/>
    <x v="9"/>
    <n v="0"/>
    <n v="0"/>
    <n v="7.0259999999999998"/>
    <n v="7.0259999999999998"/>
    <n v="7.0259999999999998"/>
    <n v="7.0259999999999998"/>
    <n v="15"/>
    <x v="0"/>
    <n v="0"/>
    <n v="0"/>
    <n v="39"/>
    <n v="80"/>
    <n v="0"/>
    <n v="222.38"/>
    <n v="241.37"/>
    <m/>
    <n v="279.53272487868679"/>
    <n v="239.91115615602757"/>
    <n v="0"/>
    <n v="1562.4418799999999"/>
    <n v="1695.86562"/>
    <n v="0"/>
    <n v="1963.9969249976534"/>
    <n v="1685.6157831522496"/>
  </r>
  <r>
    <s v="Regular"/>
    <x v="3"/>
    <x v="2"/>
    <x v="4"/>
    <x v="0"/>
    <x v="0"/>
    <x v="0"/>
    <x v="2"/>
    <x v="10"/>
    <n v="0"/>
    <n v="0"/>
    <n v="7.2480000000000002"/>
    <n v="7.2480000000000002"/>
    <n v="7.2480000000000002"/>
    <n v="7.2480000000000002"/>
    <n v="15"/>
    <x v="0"/>
    <n v="0"/>
    <n v="0"/>
    <n v="39"/>
    <n v="80"/>
    <n v="0"/>
    <n v="222.38"/>
    <n v="241.37"/>
    <m/>
    <n v="279.53272487868679"/>
    <n v="239.91115615602757"/>
    <n v="0"/>
    <n v="1611.81024"/>
    <n v="1749.4497600000002"/>
    <n v="0"/>
    <n v="2026.0531899207219"/>
    <n v="1738.8760598188878"/>
  </r>
  <r>
    <s v="Regular"/>
    <x v="3"/>
    <x v="2"/>
    <x v="4"/>
    <x v="0"/>
    <x v="0"/>
    <x v="0"/>
    <x v="2"/>
    <x v="11"/>
    <n v="0"/>
    <n v="0"/>
    <n v="7.9889999999999999"/>
    <n v="7.9889999999999999"/>
    <n v="7.9889999999999999"/>
    <n v="7.9889999999999999"/>
    <n v="15"/>
    <x v="0"/>
    <n v="0"/>
    <n v="0"/>
    <n v="39"/>
    <n v="80"/>
    <n v="0"/>
    <n v="222.38"/>
    <n v="241.37"/>
    <m/>
    <n v="279.53272487868679"/>
    <n v="239.91115615602757"/>
    <n v="0"/>
    <n v="1776.5938199999998"/>
    <n v="1928.30493"/>
    <n v="0"/>
    <n v="2233.1869390558286"/>
    <n v="1916.6502265305041"/>
  </r>
  <r>
    <s v="Regular"/>
    <x v="3"/>
    <x v="2"/>
    <x v="5"/>
    <x v="6"/>
    <x v="0"/>
    <x v="0"/>
    <x v="2"/>
    <x v="0"/>
    <n v="0"/>
    <n v="0"/>
    <n v="1.109"/>
    <n v="1.109"/>
    <n v="1.109"/>
    <n v="1.109"/>
    <n v="2"/>
    <x v="0"/>
    <n v="0"/>
    <n v="0"/>
    <n v="39"/>
    <n v="80"/>
    <n v="0"/>
    <n v="209.03719999999998"/>
    <n v="226.8878"/>
    <m/>
    <n v="271.14674313232621"/>
    <n v="232.71382147134673"/>
    <n v="0"/>
    <n v="231.82225479999997"/>
    <n v="251.61857019999999"/>
    <n v="0"/>
    <n v="300.70173813374976"/>
    <n v="258.07962801172351"/>
  </r>
  <r>
    <s v="Regular"/>
    <x v="3"/>
    <x v="2"/>
    <x v="5"/>
    <x v="6"/>
    <x v="0"/>
    <x v="0"/>
    <x v="2"/>
    <x v="1"/>
    <n v="0"/>
    <n v="0"/>
    <n v="1.0189999999999999"/>
    <n v="1.0189999999999999"/>
    <n v="1.0189999999999999"/>
    <n v="1.0189999999999999"/>
    <n v="2"/>
    <x v="0"/>
    <n v="0"/>
    <n v="0"/>
    <n v="39"/>
    <n v="80"/>
    <n v="0"/>
    <n v="209.03719999999998"/>
    <n v="226.8878"/>
    <m/>
    <n v="271.14674313232621"/>
    <n v="232.71382147134673"/>
    <n v="0"/>
    <n v="213.00890679999998"/>
    <n v="231.19866819999999"/>
    <n v="0"/>
    <n v="276.29853125184036"/>
    <n v="237.1353840793023"/>
  </r>
  <r>
    <s v="Regular"/>
    <x v="3"/>
    <x v="2"/>
    <x v="5"/>
    <x v="6"/>
    <x v="0"/>
    <x v="0"/>
    <x v="2"/>
    <x v="2"/>
    <n v="0"/>
    <n v="0"/>
    <n v="1.0860000000000001"/>
    <n v="1.0860000000000001"/>
    <n v="1.0860000000000001"/>
    <n v="1.0860000000000001"/>
    <n v="2"/>
    <x v="0"/>
    <n v="0"/>
    <n v="0"/>
    <n v="39"/>
    <n v="80"/>
    <n v="0"/>
    <n v="209.03719999999998"/>
    <n v="226.8878"/>
    <m/>
    <n v="271.14674313232621"/>
    <n v="232.71382147134673"/>
    <n v="0"/>
    <n v="227.01439919999999"/>
    <n v="246.40015080000001"/>
    <n v="0"/>
    <n v="294.46536304170627"/>
    <n v="252.72721011788258"/>
  </r>
  <r>
    <s v="Regular"/>
    <x v="3"/>
    <x v="2"/>
    <x v="5"/>
    <x v="6"/>
    <x v="0"/>
    <x v="0"/>
    <x v="2"/>
    <x v="3"/>
    <n v="0"/>
    <n v="0"/>
    <n v="1.2649999999999999"/>
    <n v="1.2649999999999999"/>
    <n v="1.2649999999999999"/>
    <n v="1.2649999999999999"/>
    <n v="2"/>
    <x v="0"/>
    <n v="0"/>
    <n v="0"/>
    <n v="39"/>
    <n v="80"/>
    <n v="0"/>
    <n v="209.03719999999998"/>
    <n v="226.8878"/>
    <m/>
    <n v="271.14674313232621"/>
    <n v="232.71382147134673"/>
    <n v="0"/>
    <n v="264.43205799999998"/>
    <n v="287.01306699999998"/>
    <n v="0"/>
    <n v="343.00063006239264"/>
    <n v="294.3829841612536"/>
  </r>
  <r>
    <s v="Regular"/>
    <x v="3"/>
    <x v="2"/>
    <x v="5"/>
    <x v="6"/>
    <x v="0"/>
    <x v="0"/>
    <x v="2"/>
    <x v="4"/>
    <n v="0"/>
    <n v="0"/>
    <n v="1.216"/>
    <n v="1.216"/>
    <n v="1.216"/>
    <n v="1.216"/>
    <n v="2"/>
    <x v="0"/>
    <n v="0"/>
    <n v="0"/>
    <n v="39"/>
    <n v="80"/>
    <n v="0"/>
    <n v="209.03719999999998"/>
    <n v="226.8878"/>
    <m/>
    <n v="271.14674313232621"/>
    <n v="232.71382147134673"/>
    <n v="0"/>
    <n v="254.18923519999998"/>
    <n v="275.89556479999999"/>
    <n v="0"/>
    <n v="329.71443964890864"/>
    <n v="282.98000690915762"/>
  </r>
  <r>
    <s v="Regular"/>
    <x v="3"/>
    <x v="2"/>
    <x v="5"/>
    <x v="6"/>
    <x v="0"/>
    <x v="0"/>
    <x v="2"/>
    <x v="6"/>
    <n v="0"/>
    <n v="0"/>
    <n v="1.1000000000000001"/>
    <n v="1.1000000000000001"/>
    <n v="1.1000000000000001"/>
    <n v="1.1000000000000001"/>
    <n v="2"/>
    <x v="0"/>
    <n v="0"/>
    <n v="0"/>
    <n v="39"/>
    <n v="80"/>
    <n v="0"/>
    <n v="209.03719999999998"/>
    <n v="226.8878"/>
    <m/>
    <n v="271.14674313232621"/>
    <n v="232.71382147134673"/>
    <n v="0"/>
    <n v="229.94092000000001"/>
    <n v="249.57658000000001"/>
    <n v="0"/>
    <n v="298.26141744555883"/>
    <n v="255.98520361848142"/>
  </r>
  <r>
    <s v="Regular"/>
    <x v="3"/>
    <x v="2"/>
    <x v="5"/>
    <x v="6"/>
    <x v="0"/>
    <x v="0"/>
    <x v="2"/>
    <x v="7"/>
    <n v="0"/>
    <n v="0"/>
    <n v="1.2410000000000001"/>
    <n v="1.2410000000000001"/>
    <n v="1.2410000000000001"/>
    <n v="1.2410000000000001"/>
    <n v="2"/>
    <x v="0"/>
    <n v="0"/>
    <n v="0"/>
    <n v="39"/>
    <n v="80"/>
    <n v="0"/>
    <n v="209.03719999999998"/>
    <n v="226.8878"/>
    <m/>
    <n v="271.14674313232621"/>
    <n v="232.71382147134673"/>
    <n v="0"/>
    <n v="259.41516519999999"/>
    <n v="281.56775980000003"/>
    <n v="0"/>
    <n v="336.49310822721685"/>
    <n v="288.79785244594132"/>
  </r>
  <r>
    <s v="Regular"/>
    <x v="3"/>
    <x v="2"/>
    <x v="5"/>
    <x v="6"/>
    <x v="0"/>
    <x v="0"/>
    <x v="2"/>
    <x v="8"/>
    <n v="0"/>
    <n v="0"/>
    <n v="1.1399999999999999"/>
    <n v="1.1399999999999999"/>
    <n v="1.1399999999999999"/>
    <n v="1.1399999999999999"/>
    <n v="2"/>
    <x v="0"/>
    <n v="0"/>
    <n v="0"/>
    <n v="39"/>
    <n v="80"/>
    <n v="0"/>
    <n v="209.03719999999998"/>
    <n v="226.8878"/>
    <m/>
    <n v="271.14674313232621"/>
    <n v="232.71382147134673"/>
    <n v="0"/>
    <n v="238.30240799999996"/>
    <n v="258.65209199999998"/>
    <n v="0"/>
    <n v="309.10728717085186"/>
    <n v="265.29375647733525"/>
  </r>
  <r>
    <s v="Regular"/>
    <x v="3"/>
    <x v="2"/>
    <x v="5"/>
    <x v="6"/>
    <x v="0"/>
    <x v="0"/>
    <x v="2"/>
    <x v="9"/>
    <n v="0"/>
    <n v="0"/>
    <n v="1.264"/>
    <n v="1.264"/>
    <n v="1.264"/>
    <n v="1.264"/>
    <n v="2"/>
    <x v="0"/>
    <n v="0"/>
    <n v="0"/>
    <n v="39"/>
    <n v="80"/>
    <n v="0"/>
    <n v="209.03719999999998"/>
    <n v="226.8878"/>
    <m/>
    <n v="271.14674313232621"/>
    <n v="232.71382147134673"/>
    <n v="0"/>
    <n v="264.22302079999997"/>
    <n v="286.78617919999999"/>
    <n v="0"/>
    <n v="342.72948331926034"/>
    <n v="294.15027033978225"/>
  </r>
  <r>
    <s v="Regular"/>
    <x v="3"/>
    <x v="2"/>
    <x v="5"/>
    <x v="6"/>
    <x v="0"/>
    <x v="0"/>
    <x v="2"/>
    <x v="10"/>
    <n v="0"/>
    <n v="0"/>
    <n v="1.173"/>
    <n v="1.173"/>
    <n v="1.173"/>
    <n v="1.173"/>
    <n v="2"/>
    <x v="0"/>
    <n v="0"/>
    <n v="0"/>
    <n v="39"/>
    <n v="80"/>
    <n v="0"/>
    <n v="209.03719999999998"/>
    <n v="226.8878"/>
    <m/>
    <n v="271.14674313232621"/>
    <n v="232.71382147134673"/>
    <n v="0"/>
    <n v="245.2006356"/>
    <n v="266.13938940000003"/>
    <n v="0"/>
    <n v="318.05512969421864"/>
    <n v="272.97331258588974"/>
  </r>
  <r>
    <s v="Regular"/>
    <x v="3"/>
    <x v="2"/>
    <x v="5"/>
    <x v="6"/>
    <x v="0"/>
    <x v="0"/>
    <x v="2"/>
    <x v="11"/>
    <n v="0"/>
    <n v="0"/>
    <n v="1.19"/>
    <n v="1.19"/>
    <n v="1.19"/>
    <n v="1.19"/>
    <n v="2"/>
    <x v="0"/>
    <n v="0"/>
    <n v="0"/>
    <n v="39"/>
    <n v="80"/>
    <n v="0"/>
    <n v="209.03719999999998"/>
    <n v="226.8878"/>
    <m/>
    <n v="271.14674313232621"/>
    <n v="232.71382147134673"/>
    <n v="0"/>
    <n v="248.75426799999997"/>
    <n v="269.99648200000001"/>
    <n v="0"/>
    <n v="322.66462432746818"/>
    <n v="276.92944755090258"/>
  </r>
  <r>
    <s v="Regular"/>
    <x v="4"/>
    <x v="2"/>
    <x v="6"/>
    <x v="7"/>
    <x v="0"/>
    <x v="0"/>
    <x v="2"/>
    <x v="0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1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2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3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4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5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6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7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8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9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10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  <r>
    <s v="Regular"/>
    <x v="4"/>
    <x v="2"/>
    <x v="6"/>
    <x v="7"/>
    <x v="0"/>
    <x v="0"/>
    <x v="2"/>
    <x v="11"/>
    <n v="0"/>
    <n v="0"/>
    <n v="45.606999999999999"/>
    <n v="45.606999999999999"/>
    <n v="45.606999999999999"/>
    <n v="45.606999999999999"/>
    <n v="3"/>
    <x v="0"/>
    <n v="0"/>
    <n v="0"/>
    <n v="50"/>
    <n v="82"/>
    <n v="0"/>
    <n v="133.43"/>
    <n v="144.82"/>
    <m/>
    <n v="167.71963492721207"/>
    <n v="143.94669369361654"/>
    <n v="0"/>
    <n v="6085.3420100000003"/>
    <n v="6604.8057399999998"/>
    <n v="0"/>
    <n v="7649.1893901253607"/>
    <n v="6564.9768592847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51D4C-15A3-426B-BFB1-EE893BE555DE}" name="Efeito Resumo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J25" firstHeaderRow="0" firstDataRow="1" firstDataCol="1"/>
  <pivotFields count="36">
    <pivotField showAll="0"/>
    <pivotField axis="axisRow" showAll="0">
      <items count="6">
        <item sd="0" x="0"/>
        <item sd="0" x="1"/>
        <item sd="0" x="2"/>
        <item sd="0" x="3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8">
        <item x="3"/>
        <item x="6"/>
        <item x="0"/>
        <item x="4"/>
        <item x="1"/>
        <item x="2"/>
        <item x="5"/>
        <item t="default"/>
      </items>
    </pivotField>
    <pivotField axis="axisRow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24">
    <i>
      <x/>
    </i>
    <i r="1">
      <x/>
    </i>
    <i r="1">
      <x v="1"/>
    </i>
    <i r="1">
      <x v="2"/>
    </i>
    <i r="1">
      <x v="3"/>
    </i>
    <i r="1">
      <x v="4"/>
    </i>
    <i r="2">
      <x v="1"/>
    </i>
    <i r="3">
      <x v="1"/>
    </i>
    <i r="4">
      <x v="1"/>
    </i>
    <i r="5">
      <x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6"/>
    <dataField name="Soma de Variação TE" fld="34" baseField="0" baseItem="0" numFmtId="166"/>
    <dataField name="Soma de Variação" fld="35" baseField="0" baseItem="0" numFmtId="166"/>
  </dataFields>
  <formats count="166">
    <format dxfId="415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41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3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412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16" type="button" dataOnly="0" labelOnly="1" outline="0" axis="axisRow" fieldPosition="0"/>
    </format>
    <format dxfId="408">
      <pivotArea dataOnly="0" labelOnly="1" fieldPosition="0">
        <references count="1">
          <reference field="16" count="0"/>
        </references>
      </pivotArea>
    </format>
    <format dxfId="407">
      <pivotArea dataOnly="0" labelOnly="1" fieldPosition="0">
        <references count="2">
          <reference field="1" count="0"/>
          <reference field="16" count="0" selected="0"/>
        </references>
      </pivotArea>
    </format>
    <format dxfId="406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2"/>
          </reference>
          <reference field="16" count="0" selected="0"/>
        </references>
      </pivotArea>
    </format>
    <format dxfId="405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16" count="0" selected="0"/>
        </references>
      </pivotArea>
    </format>
    <format dxfId="404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403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402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401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2"/>
          </reference>
          <reference field="16" count="0" selected="0"/>
        </references>
      </pivotArea>
    </format>
    <format dxfId="400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399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398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97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396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395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94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93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92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391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90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89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388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387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386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85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84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383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38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381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38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379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8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7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6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5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374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373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72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71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370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369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368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367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366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5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4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3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2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361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360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2">
            <x v="0"/>
            <x v="2"/>
          </reference>
          <reference field="16" count="0" selected="0"/>
        </references>
      </pivotArea>
    </format>
    <format dxfId="359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58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7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6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5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4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3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2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1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50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49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48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347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346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45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344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43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42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41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40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9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 selected="0">
            <x v="1"/>
          </reference>
          <reference field="8" count="1">
            <x v="0"/>
          </reference>
          <reference field="16" count="0" selected="0"/>
        </references>
      </pivotArea>
    </format>
    <format dxfId="338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 selected="0">
            <x v="1"/>
          </reference>
          <reference field="8" count="1">
            <x v="0"/>
          </reference>
          <reference field="16" count="0" selected="0"/>
        </references>
      </pivotArea>
    </format>
    <format dxfId="337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6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5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4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3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 selected="0">
            <x v="1"/>
          </reference>
          <reference field="8" count="11">
            <x v="0"/>
            <x v="1"/>
            <x v="2"/>
            <x v="3"/>
            <x v="4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32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33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16" type="button" dataOnly="0" labelOnly="1" outline="0" axis="axisRow" fieldPosition="0"/>
    </format>
    <format dxfId="327">
      <pivotArea dataOnly="0" labelOnly="1" fieldPosition="0">
        <references count="1">
          <reference field="16" count="0"/>
        </references>
      </pivotArea>
    </format>
    <format dxfId="326">
      <pivotArea dataOnly="0" labelOnly="1" fieldPosition="0">
        <references count="2">
          <reference field="1" count="0"/>
          <reference field="16" count="0" selected="0"/>
        </references>
      </pivotArea>
    </format>
    <format dxfId="325">
      <pivotArea dataOnly="0" labelOnly="1" fieldPosition="0">
        <references count="3">
          <reference field="1" count="1" selected="0">
            <x v="0"/>
          </reference>
          <reference field="2" count="2">
            <x v="0"/>
            <x v="2"/>
          </reference>
          <reference field="16" count="0" selected="0"/>
        </references>
      </pivotArea>
    </format>
    <format dxfId="324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16" count="0" selected="0"/>
        </references>
      </pivotArea>
    </format>
    <format dxfId="323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322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321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320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>
            <x v="2"/>
          </reference>
          <reference field="16" count="0" selected="0"/>
        </references>
      </pivotArea>
    </format>
    <format dxfId="319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  <reference field="16" count="0" selected="0"/>
        </references>
      </pivotArea>
    </format>
    <format dxfId="318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317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16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315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314">
      <pivotArea dataOnly="0" labelOnly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13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12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11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310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09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08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307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306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305">
      <pivotArea dataOnly="0" labelOnly="1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04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03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30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301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30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299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298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7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6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5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4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293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292">
      <pivotArea dataOnly="0" labelOnly="1" fieldPosition="0">
        <references count="7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91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90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289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288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287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286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285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4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3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2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1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280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279">
      <pivotArea dataOnly="0" labelOnly="1" fieldPosition="0">
        <references count="8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2">
            <x v="0"/>
            <x v="2"/>
          </reference>
          <reference field="16" count="0" selected="0"/>
        </references>
      </pivotArea>
    </format>
    <format dxfId="278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77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6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5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4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2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1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70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69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68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67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>
            <x v="1"/>
          </reference>
          <reference field="16" count="0" selected="0"/>
        </references>
      </pivotArea>
    </format>
    <format dxfId="266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65">
      <pivotArea dataOnly="0" labelOnly="1" fieldPosition="0">
        <references count="9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4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63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62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1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60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9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8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 selected="0">
            <x v="1"/>
          </reference>
          <reference field="8" count="1">
            <x v="0"/>
          </reference>
          <reference field="16" count="0" selected="0"/>
        </references>
      </pivotArea>
    </format>
    <format dxfId="257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 selected="0">
            <x v="1"/>
          </reference>
          <reference field="8" count="1">
            <x v="0"/>
          </reference>
          <reference field="16" count="0" selected="0"/>
        </references>
      </pivotArea>
    </format>
    <format dxfId="256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5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4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3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2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 selected="0">
            <x v="1"/>
          </reference>
          <reference field="8" count="11">
            <x v="0"/>
            <x v="1"/>
            <x v="2"/>
            <x v="3"/>
            <x v="4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1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25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B9052-227E-4381-ADE8-9F018FDABCBB}" name="Subsidio Resumo" cacheId="2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>
  <location ref="A1:G95" firstHeaderRow="0" firstDataRow="1" firstDataCol="1"/>
  <pivotFields count="3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6"/>
        <item x="5"/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5">
        <item x="3"/>
        <item x="1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94">
    <i>
      <x/>
    </i>
    <i r="1">
      <x v="2"/>
    </i>
    <i r="2">
      <x/>
    </i>
    <i r="3">
      <x v="2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/>
    </i>
    <i r="2">
      <x/>
    </i>
    <i r="3">
      <x/>
    </i>
    <i r="4">
      <x v="3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/>
    </i>
    <i r="6">
      <x/>
    </i>
    <i r="7">
      <x/>
    </i>
    <i r="8">
      <x/>
    </i>
    <i r="4">
      <x v="6"/>
    </i>
    <i r="5">
      <x/>
    </i>
    <i r="6">
      <x/>
    </i>
    <i r="7">
      <x/>
    </i>
    <i r="8">
      <x/>
    </i>
    <i>
      <x v="2"/>
    </i>
    <i r="1">
      <x v="1"/>
    </i>
    <i r="2">
      <x/>
    </i>
    <i r="3">
      <x v="1"/>
    </i>
    <i r="4">
      <x v="1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3"/>
    </i>
    <i r="1">
      <x/>
    </i>
    <i r="2">
      <x/>
    </i>
    <i r="3">
      <x/>
    </i>
    <i r="4">
      <x v="2"/>
    </i>
    <i r="5">
      <x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00">
    <format dxfId="249">
      <pivotArea outline="0" collapsedLevelsAreSubtotals="1" fieldPosition="0"/>
    </format>
    <format dxfId="24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31" type="button" dataOnly="0" labelOnly="1" outline="0" axis="axisRow" fieldPosition="0"/>
    </format>
    <format dxfId="244">
      <pivotArea dataOnly="0" labelOnly="1" fieldPosition="0">
        <references count="1">
          <reference field="31" count="0"/>
        </references>
      </pivotArea>
    </format>
    <format dxfId="243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42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41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40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239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38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237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236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235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234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233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232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231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230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229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228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227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22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22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22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22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222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221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220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21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5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21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213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21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1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1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8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20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206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11">
            <x v="0"/>
            <x v="1"/>
            <x v="2"/>
            <x v="3"/>
            <x v="4"/>
            <x v="6"/>
            <x v="7"/>
            <x v="8"/>
            <x v="9"/>
            <x v="10"/>
            <x v="11"/>
          </reference>
          <reference field="31" count="1" selected="0">
            <x v="0"/>
          </reference>
        </references>
      </pivotArea>
    </format>
    <format dxfId="20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20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1"/>
          </reference>
        </references>
      </pivotArea>
    </format>
    <format dxfId="202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1"/>
          </reference>
        </references>
      </pivotArea>
    </format>
    <format dxfId="201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20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9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31" type="button" dataOnly="0" labelOnly="1" outline="0" axis="axisRow" fieldPosition="0"/>
    </format>
    <format dxfId="195">
      <pivotArea dataOnly="0" labelOnly="1" fieldPosition="0">
        <references count="1">
          <reference field="31" count="0"/>
        </references>
      </pivotArea>
    </format>
    <format dxfId="194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193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192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191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190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189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188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187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186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185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18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183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182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181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18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179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178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177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17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17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17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173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17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171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17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6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16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164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163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9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15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157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11">
            <x v="0"/>
            <x v="1"/>
            <x v="2"/>
            <x v="3"/>
            <x v="4"/>
            <x v="6"/>
            <x v="7"/>
            <x v="8"/>
            <x v="9"/>
            <x v="10"/>
            <x v="11"/>
          </reference>
          <reference field="31" count="1" selected="0">
            <x v="0"/>
          </reference>
        </references>
      </pivotArea>
    </format>
    <format dxfId="15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5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5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1"/>
          </reference>
        </references>
      </pivotArea>
    </format>
    <format dxfId="15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1"/>
          </reference>
        </references>
      </pivotArea>
    </format>
    <format dxfId="152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15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C12CF96-0752-467B-ACF9-FFF716605F25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9B089F6-9B9A-4813-82C4-5185C0969BD8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D6CD2BF-3AEB-4A20-9870-31DF79D59BDA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34A33-1C97-4227-8F82-33B82E5D0531}" name="Efeito" displayName="Efeito" ref="A1:AG170" totalsRowShown="0" headerRowDxfId="484" dataDxfId="483">
  <autoFilter ref="A1:AG170" xr:uid="{5FF34A33-1C97-4227-8F82-33B82E5D0531}"/>
  <tableColumns count="33">
    <tableColumn id="1" xr3:uid="{B70813D5-BBE4-4E71-AAD7-64332167DDDC}" name="TipoMercado" dataDxfId="482"/>
    <tableColumn id="2" xr3:uid="{06DF76C7-68A8-4A7E-9C7D-ADEFAA0A9AFD}" name="Subgrupo" dataDxfId="481"/>
    <tableColumn id="3" xr3:uid="{65C8F39A-2A1D-423F-8422-F30B4D4361D8}" name="Modalidade" dataDxfId="480"/>
    <tableColumn id="4" xr3:uid="{50EFBF3B-CC95-4EA1-943D-007F3C789BA1}" name="Classe" dataDxfId="479"/>
    <tableColumn id="5" xr3:uid="{2710F7DD-2E3E-42BB-BB2C-077B2C6ADEE1}" name="Subclasse" dataDxfId="478"/>
    <tableColumn id="6" xr3:uid="{E28D12D3-F800-4439-AC4A-95E368DB58D4}" name="Detalhe" dataDxfId="477"/>
    <tableColumn id="7" xr3:uid="{F7DFFD78-9EA8-4CF3-B95B-2D8FD0DBCB5D}" name="Agente" dataDxfId="476"/>
    <tableColumn id="8" xr3:uid="{D36229A0-9B86-4B32-A549-ABFAB89C4B77}" name="Posto" dataDxfId="475"/>
    <tableColumn id="9" xr3:uid="{8D19E57C-3360-4E10-91A8-B9A83DC9A019}" name="AnoMes" dataDxfId="474"/>
    <tableColumn id="10" xr3:uid="{6CD8BBC8-01E4-41EA-8668-9B5319342CAF}" name="D" dataDxfId="473"/>
    <tableColumn id="11" xr3:uid="{5A4128E1-49E4-490D-B8F4-E141832FBB8D}" name="Daj" dataDxfId="472"/>
    <tableColumn id="12" xr3:uid="{717799F7-D718-493C-8A80-26B65623D3CD}" name="TUSD_E" dataDxfId="471"/>
    <tableColumn id="13" xr3:uid="{124BD27D-F542-4DEB-9ED1-E9770A59EA4E}" name="TUSD_Eaj" dataDxfId="470"/>
    <tableColumn id="14" xr3:uid="{4762D56F-A5A9-4254-8259-71C5882547D7}" name="TE_E" dataDxfId="469"/>
    <tableColumn id="15" xr3:uid="{738A89E8-CC2F-4A47-B161-A226AA2F8879}" name="TE_Eaj" dataDxfId="468"/>
    <tableColumn id="16" xr3:uid="{B5E7EE64-D499-4866-B6A0-E6317C146633}" name="UC" dataDxfId="467"/>
    <tableColumn id="17" xr3:uid="{105A256B-D8C4-4232-91E7-9F732BD703EB}" name="OPÇÃO" dataDxfId="466"/>
    <tableColumn id="18" xr3:uid="{D70F2ED4-CDAC-4678-B389-9154952BC659}" name="CóD. AUX." dataDxfId="465"/>
    <tableColumn id="19" xr3:uid="{4C96E0D6-44E6-415D-AA6B-AEA9C9EBAA12}" name="CóD. AUX. TUSD R$/kW" dataDxfId="464"/>
    <tableColumn id="20" xr3:uid="{6F81A706-1BD2-48D8-BBED-5534882F604C}" name="CóD. AUX. TUSD R$/MWh" dataDxfId="463"/>
    <tableColumn id="21" xr3:uid="{B48F1628-029C-44E5-9777-2B5A5E8A1302}" name="CóD. AUX. TE R$/MWh" dataDxfId="462"/>
    <tableColumn id="22" xr3:uid="{2E91D941-E5E8-4D11-9D87-F97FE1E881AC}" name="TUSD (R$/kW)" dataDxfId="461"/>
    <tableColumn id="23" xr3:uid="{7AF6C372-16CF-4D89-8537-5BC045770D6E}" name="TUSD (R$/MWh)" dataDxfId="460"/>
    <tableColumn id="24" xr3:uid="{ECBF93B3-05DA-4944-9682-90F6DD60DC49}" name="TE (R$/MWh)" dataDxfId="459"/>
    <tableColumn id="25" xr3:uid="{369C1EDE-74AC-4245-967B-77A838BD45BF}" name="TUSD (R$/kW) NOVA" dataDxfId="458"/>
    <tableColumn id="26" xr3:uid="{2F46CD1A-D68A-446C-BCE2-A776DA7C379E}" name="TUSD (R$/MWh) NOVA" dataDxfId="457">
      <calculatedColumnFormula>('TUSD BE'!$AM$51+'TUSD BF'!$AM$51+'TUSD CVA'!$AM$51)*1</calculatedColumnFormula>
    </tableColumn>
    <tableColumn id="27" xr3:uid="{F8BC21E2-E1D6-47AF-A2EC-B7D60E7A71CE}" name="TE (R$/MWh) NOVA" dataDxfId="456">
      <calculatedColumnFormula>('TE BE'!$AB$41+'TE BF'!$AB$41+'TE CVA'!$AB$41)*1</calculatedColumnFormula>
    </tableColumn>
    <tableColumn id="28" xr3:uid="{475FD245-AF61-4E77-B1D7-7B001FFBB329}" name="RA0 ou RV - TUSD (kW)" dataDxfId="455"/>
    <tableColumn id="29" xr3:uid="{0CF1B9A3-DDCF-420A-89AC-45D5BB7B671A}" name="RA0 ou RV - TUSD (MWh)" dataDxfId="454"/>
    <tableColumn id="30" xr3:uid="{8A49D5AA-5C25-4F2A-8A0F-36792BCDF570}" name="RA0 ou RV - TE (MWh)" dataDxfId="453"/>
    <tableColumn id="31" xr3:uid="{02B5D622-FAE9-48BC-8933-C4AB33BDF182}" name="RA1 ou RRD - TUSD (kW)" dataDxfId="452"/>
    <tableColumn id="32" xr3:uid="{BB37B7F0-D6C7-4017-97D7-B6896305ED4B}" name="RA1 ou RRD - TUSD (MWh)" dataDxfId="451"/>
    <tableColumn id="33" xr3:uid="{E1CF73ED-6B2A-48DA-B90F-3D9D5958EDE6}" name="RA1 ou RRD - TE (MWh)" dataDxfId="4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0EFD7A-3048-4E9D-9475-2493110BC864}" name="Subsidio" displayName="Subsidio" ref="A1:AF51" totalsRowShown="0" headerRowDxfId="449" dataDxfId="448">
  <autoFilter ref="A1:AF51" xr:uid="{AE0EFD7A-3048-4E9D-9475-2493110BC864}"/>
  <tableColumns count="32">
    <tableColumn id="1" xr3:uid="{EDBB9F18-00F1-48C4-B8B3-E8E5AE8A99D9}" name="TipoMercado" dataDxfId="447"/>
    <tableColumn id="2" xr3:uid="{AF970664-C49B-44CE-A411-2C66D685588E}" name="Subgrupo" dataDxfId="446"/>
    <tableColumn id="3" xr3:uid="{C6730529-D008-4982-BD96-01BB37B169C4}" name="Modalidade" dataDxfId="445"/>
    <tableColumn id="4" xr3:uid="{5F14E4EA-A443-4A48-900B-0CEECF0A1345}" name="Classe" dataDxfId="444"/>
    <tableColumn id="5" xr3:uid="{FE604C43-F3EB-4EBD-BE0A-FAC7BDBAF1A0}" name="Subclasse" dataDxfId="443"/>
    <tableColumn id="6" xr3:uid="{4464AA87-880C-4128-B4A0-8DEB04F74342}" name="Detalhe" dataDxfId="442"/>
    <tableColumn id="7" xr3:uid="{459721F8-AF5D-4478-B3FC-AF73FA74146D}" name="Agente" dataDxfId="441"/>
    <tableColumn id="8" xr3:uid="{37CFF0D8-C117-4129-B024-144103E53391}" name="Posto" dataDxfId="440"/>
    <tableColumn id="9" xr3:uid="{88B60B10-265F-4782-AA4E-EEAD7CE70DA2}" name="AnoMes" dataDxfId="439"/>
    <tableColumn id="10" xr3:uid="{951939DC-C8E2-45E0-9EC5-0C8BF41466D3}" name="D" dataDxfId="438"/>
    <tableColumn id="11" xr3:uid="{142FF6D2-C04E-4AD0-AC49-48CBCD899750}" name="Daj" dataDxfId="437"/>
    <tableColumn id="12" xr3:uid="{B43EB2E3-7F84-4CA9-A8C4-D77FC6B8CB88}" name="TUSD_E" dataDxfId="436"/>
    <tableColumn id="13" xr3:uid="{4E662C6F-7BE2-4D9C-981E-F5FD2F5EF6C8}" name="TUSD_Eaj" dataDxfId="435"/>
    <tableColumn id="14" xr3:uid="{7B21FAB8-CF8D-4878-B00C-42630A12D1CB}" name="TE_E" dataDxfId="434"/>
    <tableColumn id="15" xr3:uid="{02791C12-47B9-4B18-B38A-0D3E8077477D}" name="TE_Eaj" dataDxfId="433"/>
    <tableColumn id="16" xr3:uid="{5A82CEDD-2137-482C-A479-36CA18E490D0}" name="UC" dataDxfId="432"/>
    <tableColumn id="17" xr3:uid="{9BF49174-1E2C-49ED-8FC9-C3CD1E3C8884}" name="OPÇÃO" dataDxfId="431"/>
    <tableColumn id="18" xr3:uid="{C4960A0B-C79D-49C3-B184-EB083FEF4F16}" name="CóD. AUX." dataDxfId="430"/>
    <tableColumn id="19" xr3:uid="{92CDD7CF-3732-4D85-9A32-CED4819EC55A}" name="CóD. AUX. TUSD R$/kW" dataDxfId="429"/>
    <tableColumn id="20" xr3:uid="{49379158-48C7-4945-83AE-4E072F2BD651}" name="CóD. AUX. TUSD R$/MWh" dataDxfId="428"/>
    <tableColumn id="21" xr3:uid="{8A8CEC40-4474-4607-98CF-056EB53193FD}" name="CóD. AUX. TE R$/MWh" dataDxfId="427"/>
    <tableColumn id="22" xr3:uid="{1668EA6A-69C0-4E70-AE5B-BC539AC49B30}" name="TUSD (R$/kW)" dataDxfId="426"/>
    <tableColumn id="23" xr3:uid="{1B5766F0-FBC3-418B-902B-42BD81012EC8}" name="TUSD (R$/MWh)" dataDxfId="425"/>
    <tableColumn id="24" xr3:uid="{611A0269-F5AD-4C77-ACA6-E24CA9C24480}" name="TE (R$/MWh)" dataDxfId="424"/>
    <tableColumn id="25" xr3:uid="{41512FA9-A48D-4682-A69F-B37AA72674F7}" name="TUSD (R$/kW) NOVA" dataDxfId="423"/>
    <tableColumn id="26" xr3:uid="{54416703-6D21-4E6C-A3D2-B80365BB069D}" name="TUSD (R$/MWh) NOVA" dataDxfId="422">
      <calculatedColumnFormula>('TUSD BE'!$AM$48+'TUSD BF'!$AM$48+'TUSD CVA'!$AM$48)*1</calculatedColumnFormula>
    </tableColumn>
    <tableColumn id="27" xr3:uid="{FFC195B9-BEA0-417F-B7E5-7BC79978C8C7}" name="TE (R$/MWh) NOVA" dataDxfId="421">
      <calculatedColumnFormula>('TE BE'!$AB$38+'TE BF'!$AB$38+'TE CVA'!$AB$38)*1</calculatedColumnFormula>
    </tableColumn>
    <tableColumn id="28" xr3:uid="{EF2F83FA-45B7-4742-AFCB-188CB8630A9C}" name="SUBSIDIO kW - TV" dataDxfId="420">
      <calculatedColumnFormula>(J2-K2)*V2</calculatedColumnFormula>
    </tableColumn>
    <tableColumn id="29" xr3:uid="{F78CE5C7-DDC7-49A3-984D-3505EFEE2B8D}" name="SUBSIDIO MWh - TV" dataDxfId="419">
      <calculatedColumnFormula>(L2-M2)*W2+(N2-O2)*X2</calculatedColumnFormula>
    </tableColumn>
    <tableColumn id="30" xr3:uid="{CCAF0AE7-006A-4985-A712-24CF0682A65C}" name="SUBSIDIO kW - TN" dataDxfId="418">
      <calculatedColumnFormula>(J2-K2)*Y2</calculatedColumnFormula>
    </tableColumn>
    <tableColumn id="31" xr3:uid="{314DFC79-C89C-4D68-ADDB-A06FC0E052A4}" name="SUBSIDIO MWh - TN" dataDxfId="417">
      <calculatedColumnFormula>(L2-M2)*Z2+(N2-O2)*AA2</calculatedColumnFormula>
    </tableColumn>
    <tableColumn id="32" xr3:uid="{E32AC00B-B3BE-473A-A6CE-D45A52609278}" name="TIPO" dataDxfId="4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6C0D6F-D16C-456D-94FB-BF302CADA5F4}" name="TabelaFin" displayName="TabelaFin" ref="B3:AT49" tableType="queryTable" totalsRowShown="0" headerRowDxfId="101" dataDxfId="100" headerRowBorderDxfId="148" tableBorderDxfId="149" totalsRowBorderDxfId="147">
  <autoFilter ref="B3:AT49" xr:uid="{FD6C0D6F-D16C-456D-94FB-BF302CADA5F4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B523377A-5149-4E1A-9D51-4A393E145BF3}" uniqueName="46" name="SUBGRUPO" queryTableFieldId="1" dataDxfId="146"/>
    <tableColumn id="47" xr3:uid="{B31DE460-EC1C-412C-BDAD-5321F76C686A}" uniqueName="47" name="MODALIDADE" queryTableFieldId="2" dataDxfId="145"/>
    <tableColumn id="48" xr3:uid="{093DF298-787B-411B-BD68-7BEC466A6950}" uniqueName="48" name="CLASSE" queryTableFieldId="3" dataDxfId="144"/>
    <tableColumn id="49" xr3:uid="{CA17BE91-AC47-42F5-B22D-536942F05DA7}" uniqueName="49" name="SUBCLASSE" queryTableFieldId="4" dataDxfId="143"/>
    <tableColumn id="50" xr3:uid="{187DD9BA-8146-44AF-9CF0-3E11158C7B4A}" uniqueName="50" name="DETALHE" queryTableFieldId="5" dataDxfId="142"/>
    <tableColumn id="51" xr3:uid="{4AB960EE-8BEC-44D3-BF3C-BF7B5E6C1565}" uniqueName="51" name="POSTO" queryTableFieldId="6" dataDxfId="141"/>
    <tableColumn id="52" xr3:uid="{C883E67E-89B6-4162-A729-A1339699282B}" uniqueName="52" name="UNIDADE" queryTableFieldId="7" dataDxfId="140"/>
    <tableColumn id="53" xr3:uid="{DDD3FCAF-3E24-4422-9725-7AFC90E800D6}" uniqueName="53" name="ACESSANTE" queryTableFieldId="8" dataDxfId="139"/>
    <tableColumn id="54" xr3:uid="{9D4C9641-4405-4B12-8F88-D513A00A148A}" uniqueName="54" name="Total TUSD" queryTableFieldId="9" dataDxfId="138"/>
    <tableColumn id="55" xr3:uid="{A2B45AD3-2A17-47D9-9928-FEF3E3E16C83}" uniqueName="55" name="Total TE" queryTableFieldId="10" dataDxfId="137"/>
    <tableColumn id="56" xr3:uid="{0A3C5D79-48D1-4652-A6C0-6810E00C0799}" uniqueName="56" name="TUSD_CDE_COVID" queryTableFieldId="11" dataDxfId="136"/>
    <tableColumn id="57" xr3:uid="{26F14466-6A01-44A5-B960-17B4DCA4D252}" uniqueName="57" name="TUSD_TFSEE" queryTableFieldId="12" dataDxfId="135"/>
    <tableColumn id="58" xr3:uid="{424DA18C-5FA5-4DAB-880C-DA5342275FD4}" uniqueName="58" name="TUSD_PeD" queryTableFieldId="13" dataDxfId="134"/>
    <tableColumn id="59" xr3:uid="{E05859F8-6151-434D-B80E-F27C97E12D08}" uniqueName="59" name="TUSD_ONS" queryTableFieldId="14" dataDxfId="133"/>
    <tableColumn id="60" xr3:uid="{F3642B69-B899-4F92-9264-71B11F4BE943}" uniqueName="60" name="TUSD_CCC" queryTableFieldId="15" dataDxfId="132"/>
    <tableColumn id="61" xr3:uid="{16EE36D3-6A19-4FE5-AEE4-BC26E44B6B0B}" uniqueName="61" name="TUSD_CDE" queryTableFieldId="16" dataDxfId="131"/>
    <tableColumn id="62" xr3:uid="{7800071B-F87D-4EB2-9572-B0BDF14CABD0}" uniqueName="62" name="TUSD_PROINFA" queryTableFieldId="17" dataDxfId="130"/>
    <tableColumn id="63" xr3:uid="{A5624576-D35A-4FCF-9753-48346E48F1C6}" uniqueName="63" name="Liminar1" queryTableFieldId="18" dataDxfId="129"/>
    <tableColumn id="64" xr3:uid="{27DA3F91-29E6-4ACA-822D-AE5E44E1653B}" uniqueName="64" name="TUSD_RB" queryTableFieldId="19" dataDxfId="128"/>
    <tableColumn id="65" xr3:uid="{45A5E680-001F-490E-9BA1-6300537EC5AE}" uniqueName="65" name="TUSD_FR" queryTableFieldId="20" dataDxfId="127"/>
    <tableColumn id="66" xr3:uid="{28226BE7-41A9-4C90-A70D-0016E607B5AE}" uniqueName="66" name="TUSD_CCT" queryTableFieldId="21" dataDxfId="126"/>
    <tableColumn id="67" xr3:uid="{EE65D300-9BD4-430A-B00E-A14EF0A131F7}" uniqueName="67" name="TUSD_CCD" queryTableFieldId="22" dataDxfId="125"/>
    <tableColumn id="68" xr3:uid="{B0AE8A09-40A0-4D83-A243-E66534D7FC39}" uniqueName="68" name="TUSD_CUSD" queryTableFieldId="23" dataDxfId="124"/>
    <tableColumn id="69" xr3:uid="{64222CF9-B04F-4C5C-BA8A-0DEE1F23555E}" uniqueName="69" name="TUSDG_T" queryTableFieldId="24" dataDxfId="123"/>
    <tableColumn id="70" xr3:uid="{246BC2A6-C245-4711-9E37-3AB28DF6B8F8}" uniqueName="70" name="TUSDG_ONS" queryTableFieldId="25" dataDxfId="122"/>
    <tableColumn id="71" xr3:uid="{5A045CC5-BA2D-42C4-890D-616D47C3EE03}" uniqueName="71" name="TUSD_FioB" queryTableFieldId="26" dataDxfId="121"/>
    <tableColumn id="72" xr3:uid="{87D52EDA-E61C-4F87-B672-3B446F885002}" uniqueName="72" name="TUSD Subsidio" queryTableFieldId="27" dataDxfId="120"/>
    <tableColumn id="73" xr3:uid="{2AA4BD14-2608-4128-BF28-E56FC5FD66FB}" uniqueName="73" name="TUSD BENEFICIO_L14299" queryTableFieldId="28" dataDxfId="119"/>
    <tableColumn id="74" xr3:uid="{3B80A94C-B0B2-4BCB-BA2B-FFA526F6440A}" uniqueName="74" name="TUSD Outros" queryTableFieldId="29" dataDxfId="118"/>
    <tableColumn id="75" xr3:uid="{8D6926C5-053B-485C-9141-C976301E0BB1}" uniqueName="75" name="TUSD_PT" queryTableFieldId="30" dataDxfId="117"/>
    <tableColumn id="76" xr3:uid="{C60873AC-E638-4D70-818B-A96784948B99}" uniqueName="76" name="TUSD_Per_RB_D" queryTableFieldId="31" dataDxfId="116"/>
    <tableColumn id="77" xr3:uid="{6FEEAF86-8A56-4470-AA56-26AF0372E107}" uniqueName="77" name="TUSD_PNT" queryTableFieldId="32" dataDxfId="115"/>
    <tableColumn id="78" xr3:uid="{B447B6C8-6FF8-425F-A4A4-7C1A21AD5F01}" uniqueName="78" name="TUSD_RI" queryTableFieldId="33" dataDxfId="114"/>
    <tableColumn id="79" xr3:uid="{BDEDE664-B889-4D48-A031-B29C805DFE5D}" uniqueName="79" name="TE_CDE_COVID" queryTableFieldId="34" dataDxfId="113"/>
    <tableColumn id="80" xr3:uid="{C58075FB-D1BC-4EC0-ABEC-5142FC044BA3}" uniqueName="80" name="TE_CDE_ELET" queryTableFieldId="35" dataDxfId="112"/>
    <tableColumn id="81" xr3:uid="{454794E3-C8F9-447B-BC28-7B964EF0FC25}" uniqueName="81" name="TE_PeD" queryTableFieldId="36" dataDxfId="111"/>
    <tableColumn id="82" xr3:uid="{B879EC1D-9938-4DD3-862C-E2CC25744A8C}" uniqueName="82" name="TE_ESSERR" queryTableFieldId="37" dataDxfId="110"/>
    <tableColumn id="83" xr3:uid="{E1C24CBB-8448-4934-BAE1-EE3BA5433F7D}" uniqueName="83" name="TE_CFURH" queryTableFieldId="38" dataDxfId="109"/>
    <tableColumn id="84" xr3:uid="{14FF14EB-49C2-487D-9208-06F3C1CBA754}" uniqueName="84" name="TE_ENERGIA" queryTableFieldId="39" dataDxfId="108"/>
    <tableColumn id="85" xr3:uid="{71D2529C-F819-4251-A382-64EEAE134043}" uniqueName="85" name="TE_TRANSPORTE_ITAIPU" queryTableFieldId="40" dataDxfId="107"/>
    <tableColumn id="86" xr3:uid="{E66B2A18-B6EB-41AE-A750-798B6CD00FA5}" uniqueName="86" name="TE_TUST_ITAIPU" queryTableFieldId="41" dataDxfId="106"/>
    <tableColumn id="87" xr3:uid="{C4EBE748-0AD8-4A5F-9BE9-A4DDFD229136}" uniqueName="87" name="TE_TUST_CI" queryTableFieldId="42" dataDxfId="105"/>
    <tableColumn id="88" xr3:uid="{F88806AB-E4CB-4094-90F5-4A7080D9B63F}" uniqueName="88" name="TE Subsidio" queryTableFieldId="43" dataDxfId="104"/>
    <tableColumn id="89" xr3:uid="{EA6510D4-655F-4411-93E6-E7DDFBCCFED5}" uniqueName="89" name="TE BENEFICIO_L14299" queryTableFieldId="44" dataDxfId="103"/>
    <tableColumn id="90" xr3:uid="{674EF295-7152-4206-BE2C-CBC9DA5E9980}" uniqueName="90" name="TE_Per_RB" queryTableFieldId="45" dataDxfId="1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2E40AE-9AD5-4FC8-9630-DEAF8145CAB0}" name="TabelaEc" displayName="TabelaEc" ref="B3:AT49" tableType="queryTable" totalsRowShown="0" headerRowDxfId="51" dataDxfId="50" headerRowBorderDxfId="98" tableBorderDxfId="99" totalsRowBorderDxfId="97">
  <autoFilter ref="B3:AT49" xr:uid="{0F2E40AE-9AD5-4FC8-9630-DEAF8145CAB0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D6F24094-D29D-4796-B421-45DB82908878}" uniqueName="46" name="SUBGRUPO" queryTableFieldId="1" dataDxfId="96"/>
    <tableColumn id="47" xr3:uid="{AE34C5C9-B49D-48A9-9F8C-5C8BAB97A181}" uniqueName="47" name="MODALIDADE" queryTableFieldId="2" dataDxfId="95"/>
    <tableColumn id="48" xr3:uid="{C5D783DC-A3A1-4EAC-AE20-15DC716193F9}" uniqueName="48" name="CLASSE" queryTableFieldId="3" dataDxfId="94"/>
    <tableColumn id="49" xr3:uid="{593650AC-5059-4B30-A196-3348C5684C3E}" uniqueName="49" name="SUBCLASSE" queryTableFieldId="4" dataDxfId="93"/>
    <tableColumn id="50" xr3:uid="{E4584E33-5B33-4C99-8FAF-8E2B1E0AB6BD}" uniqueName="50" name="DETALHE" queryTableFieldId="5" dataDxfId="92"/>
    <tableColumn id="51" xr3:uid="{A02E3599-3E63-4AD5-95CE-3616EB83856A}" uniqueName="51" name="POSTO" queryTableFieldId="6" dataDxfId="91"/>
    <tableColumn id="52" xr3:uid="{42F2550F-BC25-4A26-B730-125EE3EF87F7}" uniqueName="52" name="UNIDADE" queryTableFieldId="7" dataDxfId="90"/>
    <tableColumn id="53" xr3:uid="{89CC8568-8EED-4FFF-805D-1D700C5207C4}" uniqueName="53" name="ACESSANTE" queryTableFieldId="8" dataDxfId="89"/>
    <tableColumn id="54" xr3:uid="{A863F4FE-8D47-4DD9-A320-FAB1FC39CDB4}" uniqueName="54" name="Total TUSD" queryTableFieldId="9" dataDxfId="88"/>
    <tableColumn id="55" xr3:uid="{DE16A954-D2AF-4E15-8E12-1AC79F0E73B8}" uniqueName="55" name="Total TE" queryTableFieldId="10" dataDxfId="87"/>
    <tableColumn id="56" xr3:uid="{B8E23A29-8D3E-4586-A7E5-6F554BAE6752}" uniqueName="56" name="TUSD_CDE_COVID" queryTableFieldId="11" dataDxfId="86"/>
    <tableColumn id="57" xr3:uid="{892F5F3A-765E-4099-8F3E-121737F69FB2}" uniqueName="57" name="TUSD_TFSEE" queryTableFieldId="12" dataDxfId="85"/>
    <tableColumn id="58" xr3:uid="{5A080848-52FD-4FC9-98BF-5ECA238C61E2}" uniqueName="58" name="TUSD_PeD" queryTableFieldId="13" dataDxfId="84"/>
    <tableColumn id="59" xr3:uid="{4EF3E582-23CF-4E08-8622-7EE98F0CBCA5}" uniqueName="59" name="TUSD_ONS" queryTableFieldId="14" dataDxfId="83"/>
    <tableColumn id="60" xr3:uid="{57477DA4-66B6-4C5A-BB1B-BBA89AC4B58D}" uniqueName="60" name="TUSD_CCC" queryTableFieldId="15" dataDxfId="82"/>
    <tableColumn id="61" xr3:uid="{324CF5B0-BE8F-478D-8A50-018191BF00B2}" uniqueName="61" name="TUSD_CDE" queryTableFieldId="16" dataDxfId="81"/>
    <tableColumn id="62" xr3:uid="{FCEF3DE5-ADDC-481C-8F2E-279940110C8E}" uniqueName="62" name="TUSD_PROINFA" queryTableFieldId="17" dataDxfId="80"/>
    <tableColumn id="63" xr3:uid="{4AC1E683-D590-4FA3-87EC-41908DEE4EAE}" uniqueName="63" name="Liminar1" queryTableFieldId="18" dataDxfId="79"/>
    <tableColumn id="64" xr3:uid="{9D0C8BD0-8908-4E66-8CB6-90AD70C55536}" uniqueName="64" name="TUSD_RB" queryTableFieldId="19" dataDxfId="78"/>
    <tableColumn id="65" xr3:uid="{91315A32-E757-4C50-8888-836E3587EF8C}" uniqueName="65" name="TUSD_FR" queryTableFieldId="20" dataDxfId="77"/>
    <tableColumn id="66" xr3:uid="{70585D54-6E93-4EBF-B9BD-08E5D2B3B673}" uniqueName="66" name="TUSD_CCT" queryTableFieldId="21" dataDxfId="76"/>
    <tableColumn id="67" xr3:uid="{2DA7045D-85D0-47CE-ABF4-3A300A744AC9}" uniqueName="67" name="TUSD_CCD" queryTableFieldId="22" dataDxfId="75"/>
    <tableColumn id="68" xr3:uid="{8C0C2690-293B-41C0-B5CA-D10ED7FB49AD}" uniqueName="68" name="TUSD_CUSD" queryTableFieldId="23" dataDxfId="74"/>
    <tableColumn id="69" xr3:uid="{2C131C48-B7E3-4F70-9B78-7B0583877006}" uniqueName="69" name="TUSDG_T" queryTableFieldId="24" dataDxfId="73"/>
    <tableColumn id="70" xr3:uid="{2744808D-9C85-479F-8C7D-5EFA5B829A71}" uniqueName="70" name="TUSDG_ONS" queryTableFieldId="25" dataDxfId="72"/>
    <tableColumn id="71" xr3:uid="{2235FB26-A3B0-4117-9763-369356EB251A}" uniqueName="71" name="TUSD_FioB" queryTableFieldId="26" dataDxfId="71"/>
    <tableColumn id="72" xr3:uid="{C6ECFF77-1C3C-4C0F-AD7E-671808297869}" uniqueName="72" name="TUSD Subsidio" queryTableFieldId="27" dataDxfId="70"/>
    <tableColumn id="73" xr3:uid="{C06DC952-C95C-4A99-A07D-2FC866457AE5}" uniqueName="73" name="TUSD BENEFICIO_L14299" queryTableFieldId="28" dataDxfId="69"/>
    <tableColumn id="74" xr3:uid="{DEB06B21-D711-48A2-8DA9-D57405EBB14E}" uniqueName="74" name="TUSD Outros" queryTableFieldId="29" dataDxfId="68"/>
    <tableColumn id="75" xr3:uid="{0D32AB49-5C8F-4379-8038-1ABAB7CADD46}" uniqueName="75" name="TUSD_PT" queryTableFieldId="30" dataDxfId="67"/>
    <tableColumn id="76" xr3:uid="{D8C307E7-8C50-4325-95C8-44A80FD47403}" uniqueName="76" name="TUSD_Per_RB_D" queryTableFieldId="31" dataDxfId="66"/>
    <tableColumn id="77" xr3:uid="{8BE1142C-8C3B-49C1-A85D-F5BAA2DDB6D3}" uniqueName="77" name="TUSD_PNT" queryTableFieldId="32" dataDxfId="65"/>
    <tableColumn id="78" xr3:uid="{1FA90708-EE58-4B0F-B592-AA01C7CCC542}" uniqueName="78" name="TUSD_RI" queryTableFieldId="33" dataDxfId="64"/>
    <tableColumn id="79" xr3:uid="{121038C8-95CD-49A8-8F2B-5430A5E5893C}" uniqueName="79" name="TE_CDE_COVID" queryTableFieldId="34" dataDxfId="63"/>
    <tableColumn id="80" xr3:uid="{45973E42-51F7-4ACD-BA06-F8705A919B5D}" uniqueName="80" name="TE_CDE_ELET" queryTableFieldId="35" dataDxfId="62"/>
    <tableColumn id="81" xr3:uid="{1510AE8B-5FAB-4BBB-85F0-A7762D76862E}" uniqueName="81" name="TE_PeD" queryTableFieldId="36" dataDxfId="61"/>
    <tableColumn id="82" xr3:uid="{DDF5C398-38BA-424D-A88C-B8CBAE44F8C2}" uniqueName="82" name="TE_ESSERR" queryTableFieldId="37" dataDxfId="60"/>
    <tableColumn id="83" xr3:uid="{CAFF55E3-6D0F-4F78-8EA8-E8256CC49B0D}" uniqueName="83" name="TE_CFURH" queryTableFieldId="38" dataDxfId="59"/>
    <tableColumn id="84" xr3:uid="{74FBE8C1-E21D-4E18-A93D-F57CCB9DA9F0}" uniqueName="84" name="TE_ENERGIA" queryTableFieldId="39" dataDxfId="58"/>
    <tableColumn id="85" xr3:uid="{ADDB2A7B-7579-4E38-879C-231216D1B07A}" uniqueName="85" name="TE_TRANSPORTE_ITAIPU" queryTableFieldId="40" dataDxfId="57"/>
    <tableColumn id="86" xr3:uid="{31061E1F-8FF7-413F-A2E0-DDC1B139EB3A}" uniqueName="86" name="TE_TUST_ITAIPU" queryTableFieldId="41" dataDxfId="56"/>
    <tableColumn id="87" xr3:uid="{CB57039D-C8B9-425B-A508-DED2DC097E16}" uniqueName="87" name="TE_TUST_CI" queryTableFieldId="42" dataDxfId="55"/>
    <tableColumn id="88" xr3:uid="{4DFECC89-FC5A-448D-9199-ED512F473A03}" uniqueName="88" name="TE Subsidio" queryTableFieldId="43" dataDxfId="54"/>
    <tableColumn id="89" xr3:uid="{1D282867-C078-4FC7-9F60-2F0DC8C2BDC8}" uniqueName="89" name="TE BENEFICIO_L14299" queryTableFieldId="44" dataDxfId="53"/>
    <tableColumn id="90" xr3:uid="{CD21628B-6C25-4D15-BC2F-79DD8C317BA1}" uniqueName="90" name="TE_Per_RB" queryTableFieldId="45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6F09C3-5430-4A88-88B9-7C10D7166D1D}" name="TabelaCVA" displayName="TabelaCVA" ref="B3:AT49" tableType="queryTable" totalsRowShown="0" headerRowDxfId="1" dataDxfId="0" headerRowBorderDxfId="48" tableBorderDxfId="49" totalsRowBorderDxfId="47">
  <autoFilter ref="B3:AT49" xr:uid="{156F09C3-5430-4A88-88B9-7C10D7166D1D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960821C7-0CB8-4580-864E-2EE138F4B15B}" uniqueName="46" name="SUBGRUPO" queryTableFieldId="1" dataDxfId="46"/>
    <tableColumn id="47" xr3:uid="{E6A55751-C1F2-4870-A347-EB8A9D174E3B}" uniqueName="47" name="MODALIDADE" queryTableFieldId="2" dataDxfId="45"/>
    <tableColumn id="48" xr3:uid="{425240BD-2139-499A-8A70-EF5D5EF940E6}" uniqueName="48" name="CLASSE" queryTableFieldId="3" dataDxfId="44"/>
    <tableColumn id="49" xr3:uid="{86DCA806-7B7E-4856-B639-8B788236DBA6}" uniqueName="49" name="SUBCLASSE" queryTableFieldId="4" dataDxfId="43"/>
    <tableColumn id="50" xr3:uid="{3F6637F7-B19B-4BF0-88AC-D91A7CA261DE}" uniqueName="50" name="DETALHE" queryTableFieldId="5" dataDxfId="42"/>
    <tableColumn id="51" xr3:uid="{0CB14744-CCAF-4B67-B0CE-40B1767E8284}" uniqueName="51" name="POSTO" queryTableFieldId="6" dataDxfId="41"/>
    <tableColumn id="52" xr3:uid="{52B707A1-E8AA-4351-9AF6-A6982B311594}" uniqueName="52" name="UNIDADE" queryTableFieldId="7" dataDxfId="40"/>
    <tableColumn id="53" xr3:uid="{CC8F3D8E-4C67-42D7-A8F0-2D5428B6E553}" uniqueName="53" name="ACESSANTE" queryTableFieldId="8" dataDxfId="39"/>
    <tableColumn id="54" xr3:uid="{AC1C5F56-75DC-4FA2-A8C4-2E1C5FC2B055}" uniqueName="54" name="Total TUSD" queryTableFieldId="9" dataDxfId="38"/>
    <tableColumn id="55" xr3:uid="{02A1953C-A4F2-42A8-9D0C-867C1E6A120F}" uniqueName="55" name="Total TE" queryTableFieldId="10" dataDxfId="37"/>
    <tableColumn id="56" xr3:uid="{9F9DA3CC-C851-4BD4-9CAF-53FECF302E7D}" uniqueName="56" name="TUSD_CDE_COVID" queryTableFieldId="11" dataDxfId="36"/>
    <tableColumn id="57" xr3:uid="{1A52A1A7-2270-4491-BA76-B2C182A4A665}" uniqueName="57" name="TUSD_TFSEE" queryTableFieldId="12" dataDxfId="35"/>
    <tableColumn id="58" xr3:uid="{B0FE08D4-5CC2-4CCD-9BDD-2265447F73B1}" uniqueName="58" name="TUSD_PeD" queryTableFieldId="13" dataDxfId="34"/>
    <tableColumn id="59" xr3:uid="{45810A5F-F600-4CD5-849B-A984419410B7}" uniqueName="59" name="TUSD_ONS" queryTableFieldId="14" dataDxfId="33"/>
    <tableColumn id="60" xr3:uid="{4AA4125B-1228-4491-9F3A-51DD7A769C47}" uniqueName="60" name="TUSD_CCC" queryTableFieldId="15" dataDxfId="32"/>
    <tableColumn id="61" xr3:uid="{F2B01D43-24AF-4364-8D3E-7A9385551DCE}" uniqueName="61" name="TUSD_CDE" queryTableFieldId="16" dataDxfId="31"/>
    <tableColumn id="62" xr3:uid="{04C8E7F9-592C-4E89-88F4-3F20B366E054}" uniqueName="62" name="TUSD_PROINFA" queryTableFieldId="17" dataDxfId="30"/>
    <tableColumn id="63" xr3:uid="{AA7A3B64-5D84-4984-97F8-9010172BCC40}" uniqueName="63" name="Liminar1" queryTableFieldId="18" dataDxfId="29"/>
    <tableColumn id="64" xr3:uid="{4122DEAD-B685-49EF-B113-DC474571E1C7}" uniqueName="64" name="TUSD_RB" queryTableFieldId="19" dataDxfId="28"/>
    <tableColumn id="65" xr3:uid="{17DD1B7C-00A7-4B12-9046-4DC2955AC9E5}" uniqueName="65" name="TUSD_FR" queryTableFieldId="20" dataDxfId="27"/>
    <tableColumn id="66" xr3:uid="{54B54A8A-C7C8-49DF-972D-AD0FD6DF4F98}" uniqueName="66" name="TUSD_CCT" queryTableFieldId="21" dataDxfId="26"/>
    <tableColumn id="67" xr3:uid="{B930FB27-474B-42CE-A2C3-B4519CEA421E}" uniqueName="67" name="TUSD_CCD" queryTableFieldId="22" dataDxfId="25"/>
    <tableColumn id="68" xr3:uid="{0D31441D-A6CE-4186-8EFB-325461829AF2}" uniqueName="68" name="TUSD_CUSD" queryTableFieldId="23" dataDxfId="24"/>
    <tableColumn id="69" xr3:uid="{70D242EF-190E-45D9-9169-C37C9336E94F}" uniqueName="69" name="TUSDG_T" queryTableFieldId="24" dataDxfId="23"/>
    <tableColumn id="70" xr3:uid="{7C07E89A-47C9-4CB1-9A01-0DF2682B0842}" uniqueName="70" name="TUSDG_ONS" queryTableFieldId="25" dataDxfId="22"/>
    <tableColumn id="71" xr3:uid="{D7A2F2D8-2D23-43BD-870B-98EBD8EC3EEF}" uniqueName="71" name="TUSD_FioB" queryTableFieldId="26" dataDxfId="21"/>
    <tableColumn id="72" xr3:uid="{925CAB11-8A0A-41DB-BC91-CE9D642A3E1D}" uniqueName="72" name="TUSD Subsidio" queryTableFieldId="27" dataDxfId="20"/>
    <tableColumn id="73" xr3:uid="{B0E4829A-EEAB-4E5B-B1FA-16E9DF7A7596}" uniqueName="73" name="TUSD BENEFICIO_L14299" queryTableFieldId="28" dataDxfId="19"/>
    <tableColumn id="74" xr3:uid="{D87A1E67-743F-4C25-A182-1BE9E676CA9C}" uniqueName="74" name="TUSD Outros" queryTableFieldId="29" dataDxfId="18"/>
    <tableColumn id="75" xr3:uid="{BF1AF5CD-87E4-422B-85D6-223EDC52242E}" uniqueName="75" name="TUSD_PT" queryTableFieldId="30" dataDxfId="17"/>
    <tableColumn id="76" xr3:uid="{3B007635-E366-4A16-B483-15A8A1B52C85}" uniqueName="76" name="TUSD_Per_RB_D" queryTableFieldId="31" dataDxfId="16"/>
    <tableColumn id="77" xr3:uid="{78635AF2-44A5-47D9-A949-6D9CC0CCB861}" uniqueName="77" name="TUSD_PNT" queryTableFieldId="32" dataDxfId="15"/>
    <tableColumn id="78" xr3:uid="{9F61436C-693A-4D61-A409-7C1953913A0D}" uniqueName="78" name="TUSD_RI" queryTableFieldId="33" dataDxfId="14"/>
    <tableColumn id="79" xr3:uid="{3480923E-2F2E-4903-A473-1DFE172B0BF3}" uniqueName="79" name="TE_CDE_COVID" queryTableFieldId="34" dataDxfId="13"/>
    <tableColumn id="80" xr3:uid="{0AE95C5D-7106-448E-B53A-423D11ADF6D5}" uniqueName="80" name="TE_CDE_ELET" queryTableFieldId="35" dataDxfId="12"/>
    <tableColumn id="81" xr3:uid="{C886154D-7A5D-49E8-928C-8AF642C00E49}" uniqueName="81" name="TE_PeD" queryTableFieldId="36" dataDxfId="11"/>
    <tableColumn id="82" xr3:uid="{719D3DD6-470E-4B1E-BA9F-5B663BF38235}" uniqueName="82" name="TE_ESSERR" queryTableFieldId="37" dataDxfId="10"/>
    <tableColumn id="83" xr3:uid="{2937178A-04C4-4CBE-860D-26736A410DB5}" uniqueName="83" name="TE_CFURH" queryTableFieldId="38" dataDxfId="9"/>
    <tableColumn id="84" xr3:uid="{7068698B-3976-436A-A9CD-E2038C383076}" uniqueName="84" name="TE_ENERGIA" queryTableFieldId="39" dataDxfId="8"/>
    <tableColumn id="85" xr3:uid="{202E8021-6DC3-4B4E-B0E9-C54B4AC6419B}" uniqueName="85" name="TE_TRANSPORTE_ITAIPU" queryTableFieldId="40" dataDxfId="7"/>
    <tableColumn id="86" xr3:uid="{AAE8CEAB-F1BD-4976-B6D3-932574B79C63}" uniqueName="86" name="TE_TUST_ITAIPU" queryTableFieldId="41" dataDxfId="6"/>
    <tableColumn id="87" xr3:uid="{17E505CB-0EE9-405A-8297-1FB6FBA93872}" uniqueName="87" name="TE_TUST_CI" queryTableFieldId="42" dataDxfId="5"/>
    <tableColumn id="88" xr3:uid="{CFDB9621-5A9B-4A77-AE5D-850A0094E720}" uniqueName="88" name="TE Subsidio" queryTableFieldId="43" dataDxfId="4"/>
    <tableColumn id="89" xr3:uid="{030EDE81-2150-45F6-A78C-087332F9BB5F}" uniqueName="89" name="TE BENEFICIO_L14299" queryTableFieldId="44" dataDxfId="3"/>
    <tableColumn id="90" xr3:uid="{E158FAC9-9A8A-45AD-9564-BE925B610D87}" uniqueName="90" name="TE_Per_RB" queryTableFieldId="4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0DFB-EBF2-45D3-95E6-2802F63B78BF}">
  <dimension ref="A1:W170"/>
  <sheetViews>
    <sheetView showGridLines="0" topLeftCell="H1" workbookViewId="0">
      <selection activeCell="T171" sqref="T171"/>
    </sheetView>
  </sheetViews>
  <sheetFormatPr defaultRowHeight="11.25" customHeight="1" x14ac:dyDescent="0.25"/>
  <cols>
    <col min="1" max="1" width="11.28515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2" width="7" style="6" bestFit="1" customWidth="1"/>
    <col min="13" max="13" width="8" style="6" bestFit="1" customWidth="1"/>
    <col min="14" max="16" width="7" style="6" bestFit="1" customWidth="1"/>
    <col min="17" max="17" width="6.5703125" style="4" bestFit="1" customWidth="1"/>
    <col min="18" max="18" width="8.5703125" style="4" bestFit="1" customWidth="1"/>
    <col min="19" max="19" width="78.140625" style="4" bestFit="1" customWidth="1"/>
    <col min="20" max="20" width="83.85546875" style="4" bestFit="1" customWidth="1"/>
    <col min="21" max="21" width="18.42578125" style="4" bestFit="1" customWidth="1"/>
    <col min="22" max="22" width="19.85546875" style="4" bestFit="1" customWidth="1"/>
    <col min="23" max="23" width="17.7109375" style="4" bestFit="1" customWidth="1"/>
    <col min="24" max="16384" width="9.140625" style="4"/>
  </cols>
  <sheetData>
    <row r="1" spans="1:23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83</v>
      </c>
      <c r="T1" s="1" t="s">
        <v>218</v>
      </c>
      <c r="U1" s="1" t="s">
        <v>18</v>
      </c>
      <c r="V1" s="1" t="s">
        <v>19</v>
      </c>
      <c r="W1" s="1" t="s">
        <v>20</v>
      </c>
    </row>
    <row r="2" spans="1:23" ht="11.25" customHeight="1" x14ac:dyDescent="0.25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6522</v>
      </c>
      <c r="K2" s="6">
        <v>6522</v>
      </c>
      <c r="L2" s="6">
        <v>3170.7</v>
      </c>
      <c r="M2" s="6">
        <v>3170.7</v>
      </c>
      <c r="N2" s="6">
        <v>3170.7</v>
      </c>
      <c r="O2" s="6">
        <v>3170.7</v>
      </c>
      <c r="P2" s="6">
        <v>0</v>
      </c>
      <c r="Q2" s="4" t="s">
        <v>26</v>
      </c>
      <c r="R2" s="4">
        <v>0</v>
      </c>
      <c r="S2" s="4" t="s">
        <v>84</v>
      </c>
      <c r="T2" s="4" t="s">
        <v>219</v>
      </c>
      <c r="U2" s="4">
        <v>27</v>
      </c>
      <c r="V2" s="4">
        <v>16</v>
      </c>
      <c r="W2" s="4">
        <v>30</v>
      </c>
    </row>
    <row r="3" spans="1:23" ht="11.25" customHeight="1" x14ac:dyDescent="0.25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6537</v>
      </c>
      <c r="K3" s="6">
        <v>6537</v>
      </c>
      <c r="L3" s="6">
        <v>3230.58</v>
      </c>
      <c r="M3" s="6">
        <v>3230.58</v>
      </c>
      <c r="N3" s="6">
        <v>3230.58</v>
      </c>
      <c r="O3" s="6">
        <v>3230.58</v>
      </c>
      <c r="P3" s="6">
        <v>0</v>
      </c>
      <c r="Q3" s="4" t="s">
        <v>26</v>
      </c>
      <c r="R3" s="4">
        <v>0</v>
      </c>
      <c r="S3" s="4" t="s">
        <v>85</v>
      </c>
      <c r="T3" s="4" t="s">
        <v>220</v>
      </c>
      <c r="U3" s="4">
        <v>27</v>
      </c>
      <c r="V3" s="4">
        <v>16</v>
      </c>
      <c r="W3" s="4">
        <v>30</v>
      </c>
    </row>
    <row r="4" spans="1:23" ht="11.25" customHeight="1" x14ac:dyDescent="0.25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6638</v>
      </c>
      <c r="K4" s="6">
        <v>6638</v>
      </c>
      <c r="L4" s="6">
        <v>3509.4</v>
      </c>
      <c r="M4" s="6">
        <v>3509.4</v>
      </c>
      <c r="N4" s="6">
        <v>3509.4</v>
      </c>
      <c r="O4" s="6">
        <v>3509.4</v>
      </c>
      <c r="P4" s="6">
        <v>0</v>
      </c>
      <c r="Q4" s="4" t="s">
        <v>26</v>
      </c>
      <c r="R4" s="4">
        <v>0</v>
      </c>
      <c r="S4" s="4" t="s">
        <v>86</v>
      </c>
      <c r="T4" s="4" t="s">
        <v>221</v>
      </c>
      <c r="U4" s="4">
        <v>27</v>
      </c>
      <c r="V4" s="4">
        <v>16</v>
      </c>
      <c r="W4" s="4">
        <v>30</v>
      </c>
    </row>
    <row r="5" spans="1:23" ht="11.25" customHeight="1" x14ac:dyDescent="0.25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6702</v>
      </c>
      <c r="K5" s="6">
        <v>6702</v>
      </c>
      <c r="L5" s="6">
        <v>3278.04</v>
      </c>
      <c r="M5" s="6">
        <v>3278.04</v>
      </c>
      <c r="N5" s="6">
        <v>3278.04</v>
      </c>
      <c r="O5" s="6">
        <v>3278.04</v>
      </c>
      <c r="P5" s="6">
        <v>0</v>
      </c>
      <c r="Q5" s="4" t="s">
        <v>26</v>
      </c>
      <c r="R5" s="4">
        <v>0</v>
      </c>
      <c r="S5" s="4" t="s">
        <v>87</v>
      </c>
      <c r="T5" s="4" t="s">
        <v>222</v>
      </c>
      <c r="U5" s="4">
        <v>27</v>
      </c>
      <c r="V5" s="4">
        <v>16</v>
      </c>
      <c r="W5" s="4">
        <v>30</v>
      </c>
    </row>
    <row r="6" spans="1:23" ht="11.25" customHeight="1" x14ac:dyDescent="0.25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7052</v>
      </c>
      <c r="K6" s="6">
        <v>7052</v>
      </c>
      <c r="L6" s="6">
        <v>2229</v>
      </c>
      <c r="M6" s="6">
        <v>2229</v>
      </c>
      <c r="N6" s="6">
        <v>2229</v>
      </c>
      <c r="O6" s="6">
        <v>2229</v>
      </c>
      <c r="P6" s="6">
        <v>0</v>
      </c>
      <c r="Q6" s="4" t="s">
        <v>26</v>
      </c>
      <c r="R6" s="4">
        <v>0</v>
      </c>
      <c r="S6" s="4" t="s">
        <v>88</v>
      </c>
      <c r="T6" s="4" t="s">
        <v>223</v>
      </c>
      <c r="U6" s="4">
        <v>27</v>
      </c>
      <c r="V6" s="4">
        <v>16</v>
      </c>
      <c r="W6" s="4">
        <v>30</v>
      </c>
    </row>
    <row r="7" spans="1:23" ht="11.25" customHeight="1" x14ac:dyDescent="0.25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6867</v>
      </c>
      <c r="K7" s="6">
        <v>6867</v>
      </c>
      <c r="L7" s="6">
        <v>2981.7</v>
      </c>
      <c r="M7" s="6">
        <v>2981.7</v>
      </c>
      <c r="N7" s="6">
        <v>2981.7</v>
      </c>
      <c r="O7" s="6">
        <v>2981.7</v>
      </c>
      <c r="P7" s="6">
        <v>0</v>
      </c>
      <c r="Q7" s="4" t="s">
        <v>26</v>
      </c>
      <c r="R7" s="4">
        <v>0</v>
      </c>
      <c r="S7" s="4" t="s">
        <v>89</v>
      </c>
      <c r="T7" s="4" t="s">
        <v>224</v>
      </c>
      <c r="U7" s="4">
        <v>27</v>
      </c>
      <c r="V7" s="4">
        <v>16</v>
      </c>
      <c r="W7" s="4">
        <v>30</v>
      </c>
    </row>
    <row r="8" spans="1:23" ht="11.25" customHeight="1" x14ac:dyDescent="0.25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6755</v>
      </c>
      <c r="K8" s="6">
        <v>6755</v>
      </c>
      <c r="L8" s="6">
        <v>3222.9</v>
      </c>
      <c r="M8" s="6">
        <v>3222.9</v>
      </c>
      <c r="N8" s="6">
        <v>3222.9</v>
      </c>
      <c r="O8" s="6">
        <v>3222.9</v>
      </c>
      <c r="P8" s="6">
        <v>0</v>
      </c>
      <c r="Q8" s="4" t="s">
        <v>26</v>
      </c>
      <c r="R8" s="4">
        <v>0</v>
      </c>
      <c r="S8" s="4" t="s">
        <v>90</v>
      </c>
      <c r="T8" s="4" t="s">
        <v>225</v>
      </c>
      <c r="U8" s="4">
        <v>27</v>
      </c>
      <c r="V8" s="4">
        <v>16</v>
      </c>
      <c r="W8" s="4">
        <v>30</v>
      </c>
    </row>
    <row r="9" spans="1:23" ht="11.25" customHeight="1" x14ac:dyDescent="0.25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6776</v>
      </c>
      <c r="K9" s="6">
        <v>6776</v>
      </c>
      <c r="L9" s="6">
        <v>3073.98</v>
      </c>
      <c r="M9" s="6">
        <v>3073.98</v>
      </c>
      <c r="N9" s="6">
        <v>3073.98</v>
      </c>
      <c r="O9" s="6">
        <v>3073.98</v>
      </c>
      <c r="P9" s="6">
        <v>0</v>
      </c>
      <c r="Q9" s="4" t="s">
        <v>26</v>
      </c>
      <c r="R9" s="4">
        <v>0</v>
      </c>
      <c r="S9" s="4" t="s">
        <v>91</v>
      </c>
      <c r="T9" s="4" t="s">
        <v>226</v>
      </c>
      <c r="U9" s="4">
        <v>27</v>
      </c>
      <c r="V9" s="4">
        <v>16</v>
      </c>
      <c r="W9" s="4">
        <v>30</v>
      </c>
    </row>
    <row r="10" spans="1:23" ht="11.25" customHeight="1" x14ac:dyDescent="0.25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6813</v>
      </c>
      <c r="K10" s="6">
        <v>6813</v>
      </c>
      <c r="L10" s="6">
        <v>3038.16</v>
      </c>
      <c r="M10" s="6">
        <v>3038.16</v>
      </c>
      <c r="N10" s="6">
        <v>3038.16</v>
      </c>
      <c r="O10" s="6">
        <v>3038.16</v>
      </c>
      <c r="P10" s="6">
        <v>0</v>
      </c>
      <c r="Q10" s="4" t="s">
        <v>26</v>
      </c>
      <c r="R10" s="4">
        <v>0</v>
      </c>
      <c r="S10" s="4" t="s">
        <v>92</v>
      </c>
      <c r="T10" s="4" t="s">
        <v>227</v>
      </c>
      <c r="U10" s="4">
        <v>27</v>
      </c>
      <c r="V10" s="4">
        <v>16</v>
      </c>
      <c r="W10" s="4">
        <v>30</v>
      </c>
    </row>
    <row r="11" spans="1:23" ht="11.25" customHeight="1" x14ac:dyDescent="0.25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6851</v>
      </c>
      <c r="K11" s="6">
        <v>6851</v>
      </c>
      <c r="L11" s="6">
        <v>3159.18</v>
      </c>
      <c r="M11" s="6">
        <v>3159.18</v>
      </c>
      <c r="N11" s="6">
        <v>3159.18</v>
      </c>
      <c r="O11" s="6">
        <v>3159.18</v>
      </c>
      <c r="P11" s="6">
        <v>0</v>
      </c>
      <c r="Q11" s="4" t="s">
        <v>26</v>
      </c>
      <c r="R11" s="4">
        <v>0</v>
      </c>
      <c r="S11" s="4" t="s">
        <v>93</v>
      </c>
      <c r="T11" s="4" t="s">
        <v>228</v>
      </c>
      <c r="U11" s="4">
        <v>27</v>
      </c>
      <c r="V11" s="4">
        <v>16</v>
      </c>
      <c r="W11" s="4">
        <v>30</v>
      </c>
    </row>
    <row r="12" spans="1:23" ht="11.25" customHeight="1" x14ac:dyDescent="0.25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6950</v>
      </c>
      <c r="K12" s="6">
        <v>6950</v>
      </c>
      <c r="L12" s="6">
        <v>3186.06</v>
      </c>
      <c r="M12" s="6">
        <v>3186.06</v>
      </c>
      <c r="N12" s="6">
        <v>3186.06</v>
      </c>
      <c r="O12" s="6">
        <v>3186.06</v>
      </c>
      <c r="P12" s="6">
        <v>0</v>
      </c>
      <c r="Q12" s="4" t="s">
        <v>26</v>
      </c>
      <c r="R12" s="4">
        <v>0</v>
      </c>
      <c r="S12" s="4" t="s">
        <v>94</v>
      </c>
      <c r="T12" s="4" t="s">
        <v>229</v>
      </c>
      <c r="U12" s="4">
        <v>27</v>
      </c>
      <c r="V12" s="4">
        <v>16</v>
      </c>
      <c r="W12" s="4">
        <v>30</v>
      </c>
    </row>
    <row r="13" spans="1:23" ht="11.25" customHeight="1" x14ac:dyDescent="0.25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6883</v>
      </c>
      <c r="K13" s="6">
        <v>6883</v>
      </c>
      <c r="L13" s="6">
        <v>3597.78</v>
      </c>
      <c r="M13" s="6">
        <v>3597.78</v>
      </c>
      <c r="N13" s="6">
        <v>3597.78</v>
      </c>
      <c r="O13" s="6">
        <v>3597.78</v>
      </c>
      <c r="P13" s="6">
        <v>0</v>
      </c>
      <c r="Q13" s="4" t="s">
        <v>26</v>
      </c>
      <c r="R13" s="4">
        <v>0</v>
      </c>
      <c r="S13" s="4" t="s">
        <v>95</v>
      </c>
      <c r="T13" s="4" t="s">
        <v>230</v>
      </c>
      <c r="U13" s="4">
        <v>27</v>
      </c>
      <c r="V13" s="4">
        <v>16</v>
      </c>
      <c r="W13" s="4">
        <v>30</v>
      </c>
    </row>
    <row r="14" spans="1:23" ht="11.25" customHeight="1" x14ac:dyDescent="0.25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35</v>
      </c>
      <c r="I14" s="5">
        <v>44440</v>
      </c>
      <c r="J14" s="6">
        <v>6066</v>
      </c>
      <c r="K14" s="6">
        <v>6066</v>
      </c>
      <c r="L14" s="6">
        <v>294.54000000000002</v>
      </c>
      <c r="M14" s="6">
        <v>294.54000000000002</v>
      </c>
      <c r="N14" s="6">
        <v>294.54000000000002</v>
      </c>
      <c r="O14" s="6">
        <v>294.54000000000002</v>
      </c>
      <c r="P14" s="6">
        <v>0</v>
      </c>
      <c r="Q14" s="4" t="s">
        <v>26</v>
      </c>
      <c r="R14" s="4">
        <v>0</v>
      </c>
      <c r="S14" s="4" t="s">
        <v>96</v>
      </c>
      <c r="T14" s="4" t="s">
        <v>231</v>
      </c>
      <c r="U14" s="4">
        <v>7</v>
      </c>
      <c r="V14" s="4">
        <v>16</v>
      </c>
      <c r="W14" s="4">
        <v>45</v>
      </c>
    </row>
    <row r="15" spans="1:23" ht="11.25" customHeight="1" x14ac:dyDescent="0.25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35</v>
      </c>
      <c r="I15" s="5">
        <v>44470</v>
      </c>
      <c r="J15" s="6">
        <v>5996</v>
      </c>
      <c r="K15" s="6">
        <v>5996</v>
      </c>
      <c r="L15" s="6">
        <v>310.86</v>
      </c>
      <c r="M15" s="6">
        <v>310.86</v>
      </c>
      <c r="N15" s="6">
        <v>310.86</v>
      </c>
      <c r="O15" s="6">
        <v>310.86</v>
      </c>
      <c r="P15" s="6">
        <v>0</v>
      </c>
      <c r="Q15" s="4" t="s">
        <v>26</v>
      </c>
      <c r="R15" s="4">
        <v>0</v>
      </c>
      <c r="S15" s="4" t="s">
        <v>97</v>
      </c>
      <c r="T15" s="4" t="s">
        <v>232</v>
      </c>
      <c r="U15" s="4">
        <v>7</v>
      </c>
      <c r="V15" s="4">
        <v>16</v>
      </c>
      <c r="W15" s="4">
        <v>45</v>
      </c>
    </row>
    <row r="16" spans="1:23" ht="11.25" customHeight="1" x14ac:dyDescent="0.25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35</v>
      </c>
      <c r="I16" s="5">
        <v>44501</v>
      </c>
      <c r="J16" s="6">
        <v>6103</v>
      </c>
      <c r="K16" s="6">
        <v>6103</v>
      </c>
      <c r="L16" s="6">
        <v>307.8</v>
      </c>
      <c r="M16" s="6">
        <v>307.8</v>
      </c>
      <c r="N16" s="6">
        <v>307.8</v>
      </c>
      <c r="O16" s="6">
        <v>307.8</v>
      </c>
      <c r="P16" s="6">
        <v>0</v>
      </c>
      <c r="Q16" s="4" t="s">
        <v>26</v>
      </c>
      <c r="R16" s="4">
        <v>0</v>
      </c>
      <c r="S16" s="4" t="s">
        <v>98</v>
      </c>
      <c r="T16" s="4" t="s">
        <v>233</v>
      </c>
      <c r="U16" s="4">
        <v>7</v>
      </c>
      <c r="V16" s="4">
        <v>16</v>
      </c>
      <c r="W16" s="4">
        <v>45</v>
      </c>
    </row>
    <row r="17" spans="1:23" ht="11.25" customHeight="1" x14ac:dyDescent="0.25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35</v>
      </c>
      <c r="I17" s="5">
        <v>44531</v>
      </c>
      <c r="J17" s="6">
        <v>6058</v>
      </c>
      <c r="K17" s="6">
        <v>6058</v>
      </c>
      <c r="L17" s="6">
        <v>314.27999999999997</v>
      </c>
      <c r="M17" s="6">
        <v>314.27999999999997</v>
      </c>
      <c r="N17" s="6">
        <v>314.27999999999997</v>
      </c>
      <c r="O17" s="6">
        <v>314.27999999999997</v>
      </c>
      <c r="P17" s="6">
        <v>0</v>
      </c>
      <c r="Q17" s="4" t="s">
        <v>26</v>
      </c>
      <c r="R17" s="4">
        <v>0</v>
      </c>
      <c r="S17" s="4" t="s">
        <v>99</v>
      </c>
      <c r="T17" s="4" t="s">
        <v>234</v>
      </c>
      <c r="U17" s="4">
        <v>7</v>
      </c>
      <c r="V17" s="4">
        <v>16</v>
      </c>
      <c r="W17" s="4">
        <v>45</v>
      </c>
    </row>
    <row r="18" spans="1:23" ht="11.25" customHeight="1" x14ac:dyDescent="0.25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35</v>
      </c>
      <c r="I18" s="5">
        <v>44562</v>
      </c>
      <c r="J18" s="6">
        <v>6304</v>
      </c>
      <c r="K18" s="6">
        <v>6304</v>
      </c>
      <c r="L18" s="6">
        <v>207.36</v>
      </c>
      <c r="M18" s="6">
        <v>207.36</v>
      </c>
      <c r="N18" s="6">
        <v>207.36</v>
      </c>
      <c r="O18" s="6">
        <v>207.36</v>
      </c>
      <c r="P18" s="6">
        <v>0</v>
      </c>
      <c r="Q18" s="4" t="s">
        <v>26</v>
      </c>
      <c r="R18" s="4">
        <v>0</v>
      </c>
      <c r="S18" s="4" t="s">
        <v>100</v>
      </c>
      <c r="T18" s="4" t="s">
        <v>235</v>
      </c>
      <c r="U18" s="4">
        <v>7</v>
      </c>
      <c r="V18" s="4">
        <v>16</v>
      </c>
      <c r="W18" s="4">
        <v>45</v>
      </c>
    </row>
    <row r="19" spans="1:23" ht="11.25" customHeight="1" x14ac:dyDescent="0.25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35</v>
      </c>
      <c r="I19" s="5">
        <v>44593</v>
      </c>
      <c r="J19" s="6">
        <v>6285</v>
      </c>
      <c r="K19" s="6">
        <v>6285</v>
      </c>
      <c r="L19" s="6">
        <v>293.22000000000003</v>
      </c>
      <c r="M19" s="6">
        <v>293.22000000000003</v>
      </c>
      <c r="N19" s="6">
        <v>293.22000000000003</v>
      </c>
      <c r="O19" s="6">
        <v>293.22000000000003</v>
      </c>
      <c r="P19" s="6">
        <v>0</v>
      </c>
      <c r="Q19" s="4" t="s">
        <v>26</v>
      </c>
      <c r="R19" s="4">
        <v>0</v>
      </c>
      <c r="S19" s="4" t="s">
        <v>101</v>
      </c>
      <c r="T19" s="4" t="s">
        <v>236</v>
      </c>
      <c r="U19" s="4">
        <v>7</v>
      </c>
      <c r="V19" s="4">
        <v>16</v>
      </c>
      <c r="W19" s="4">
        <v>45</v>
      </c>
    </row>
    <row r="20" spans="1:23" ht="11.25" customHeight="1" x14ac:dyDescent="0.25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35</v>
      </c>
      <c r="I20" s="5">
        <v>44621</v>
      </c>
      <c r="J20" s="6">
        <v>6258</v>
      </c>
      <c r="K20" s="6">
        <v>6258</v>
      </c>
      <c r="L20" s="6">
        <v>329.34</v>
      </c>
      <c r="M20" s="6">
        <v>329.34</v>
      </c>
      <c r="N20" s="6">
        <v>329.34</v>
      </c>
      <c r="O20" s="6">
        <v>329.34</v>
      </c>
      <c r="P20" s="6">
        <v>0</v>
      </c>
      <c r="Q20" s="4" t="s">
        <v>26</v>
      </c>
      <c r="R20" s="4">
        <v>0</v>
      </c>
      <c r="S20" s="4" t="s">
        <v>102</v>
      </c>
      <c r="T20" s="4" t="s">
        <v>237</v>
      </c>
      <c r="U20" s="4">
        <v>7</v>
      </c>
      <c r="V20" s="4">
        <v>16</v>
      </c>
      <c r="W20" s="4">
        <v>45</v>
      </c>
    </row>
    <row r="21" spans="1:23" ht="11.25" customHeight="1" x14ac:dyDescent="0.25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35</v>
      </c>
      <c r="I21" s="5">
        <v>44652</v>
      </c>
      <c r="J21" s="6">
        <v>6215</v>
      </c>
      <c r="K21" s="6">
        <v>6215</v>
      </c>
      <c r="L21" s="6">
        <v>288.95999999999998</v>
      </c>
      <c r="M21" s="6">
        <v>288.95999999999998</v>
      </c>
      <c r="N21" s="6">
        <v>288.95999999999998</v>
      </c>
      <c r="O21" s="6">
        <v>288.95999999999998</v>
      </c>
      <c r="P21" s="6">
        <v>0</v>
      </c>
      <c r="Q21" s="4" t="s">
        <v>26</v>
      </c>
      <c r="R21" s="4">
        <v>0</v>
      </c>
      <c r="S21" s="4" t="s">
        <v>103</v>
      </c>
      <c r="T21" s="4" t="s">
        <v>238</v>
      </c>
      <c r="U21" s="4">
        <v>7</v>
      </c>
      <c r="V21" s="4">
        <v>16</v>
      </c>
      <c r="W21" s="4">
        <v>45</v>
      </c>
    </row>
    <row r="22" spans="1:23" ht="11.25" customHeight="1" x14ac:dyDescent="0.25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35</v>
      </c>
      <c r="I22" s="5">
        <v>44682</v>
      </c>
      <c r="J22" s="6">
        <v>6270</v>
      </c>
      <c r="K22" s="6">
        <v>6270</v>
      </c>
      <c r="L22" s="6">
        <v>294.83999999999997</v>
      </c>
      <c r="M22" s="6">
        <v>294.83999999999997</v>
      </c>
      <c r="N22" s="6">
        <v>294.83999999999997</v>
      </c>
      <c r="O22" s="6">
        <v>294.83999999999997</v>
      </c>
      <c r="P22" s="6">
        <v>0</v>
      </c>
      <c r="Q22" s="4" t="s">
        <v>26</v>
      </c>
      <c r="R22" s="4">
        <v>0</v>
      </c>
      <c r="S22" s="4" t="s">
        <v>104</v>
      </c>
      <c r="T22" s="4" t="s">
        <v>239</v>
      </c>
      <c r="U22" s="4">
        <v>7</v>
      </c>
      <c r="V22" s="4">
        <v>16</v>
      </c>
      <c r="W22" s="4">
        <v>45</v>
      </c>
    </row>
    <row r="23" spans="1:23" ht="11.25" customHeight="1" x14ac:dyDescent="0.25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35</v>
      </c>
      <c r="I23" s="5">
        <v>44713</v>
      </c>
      <c r="J23" s="6">
        <v>6256</v>
      </c>
      <c r="K23" s="6">
        <v>6256</v>
      </c>
      <c r="L23" s="6">
        <v>339.84</v>
      </c>
      <c r="M23" s="6">
        <v>339.84</v>
      </c>
      <c r="N23" s="6">
        <v>339.84</v>
      </c>
      <c r="O23" s="6">
        <v>339.84</v>
      </c>
      <c r="P23" s="6">
        <v>0</v>
      </c>
      <c r="Q23" s="4" t="s">
        <v>26</v>
      </c>
      <c r="R23" s="4">
        <v>0</v>
      </c>
      <c r="S23" s="4" t="s">
        <v>105</v>
      </c>
      <c r="T23" s="4" t="s">
        <v>240</v>
      </c>
      <c r="U23" s="4">
        <v>7</v>
      </c>
      <c r="V23" s="4">
        <v>16</v>
      </c>
      <c r="W23" s="4">
        <v>45</v>
      </c>
    </row>
    <row r="24" spans="1:23" ht="11.25" customHeight="1" x14ac:dyDescent="0.25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35</v>
      </c>
      <c r="I24" s="5">
        <v>44743</v>
      </c>
      <c r="J24" s="6">
        <v>6408</v>
      </c>
      <c r="K24" s="6">
        <v>6408</v>
      </c>
      <c r="L24" s="6">
        <v>330.72</v>
      </c>
      <c r="M24" s="6">
        <v>330.72</v>
      </c>
      <c r="N24" s="6">
        <v>330.72</v>
      </c>
      <c r="O24" s="6">
        <v>330.72</v>
      </c>
      <c r="P24" s="6">
        <v>0</v>
      </c>
      <c r="Q24" s="4" t="s">
        <v>26</v>
      </c>
      <c r="R24" s="4">
        <v>0</v>
      </c>
      <c r="S24" s="4" t="s">
        <v>106</v>
      </c>
      <c r="T24" s="4" t="s">
        <v>241</v>
      </c>
      <c r="U24" s="4">
        <v>7</v>
      </c>
      <c r="V24" s="4">
        <v>16</v>
      </c>
      <c r="W24" s="4">
        <v>45</v>
      </c>
    </row>
    <row r="25" spans="1:23" ht="11.25" customHeight="1" x14ac:dyDescent="0.25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35</v>
      </c>
      <c r="I25" s="5">
        <v>44774</v>
      </c>
      <c r="J25" s="6">
        <v>6396</v>
      </c>
      <c r="K25" s="6">
        <v>6396</v>
      </c>
      <c r="L25" s="6">
        <v>342.12</v>
      </c>
      <c r="M25" s="6">
        <v>342.12</v>
      </c>
      <c r="N25" s="6">
        <v>342.12</v>
      </c>
      <c r="O25" s="6">
        <v>342.12</v>
      </c>
      <c r="P25" s="6">
        <v>0</v>
      </c>
      <c r="Q25" s="4" t="s">
        <v>26</v>
      </c>
      <c r="R25" s="4">
        <v>0</v>
      </c>
      <c r="S25" s="4" t="s">
        <v>107</v>
      </c>
      <c r="T25" s="4" t="s">
        <v>242</v>
      </c>
      <c r="U25" s="4">
        <v>7</v>
      </c>
      <c r="V25" s="4">
        <v>16</v>
      </c>
      <c r="W25" s="4">
        <v>45</v>
      </c>
    </row>
    <row r="26" spans="1:23" ht="11.25" customHeight="1" x14ac:dyDescent="0.25">
      <c r="A26" s="4" t="s">
        <v>21</v>
      </c>
      <c r="B26" s="4" t="s">
        <v>33</v>
      </c>
      <c r="C26" s="4" t="s">
        <v>37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36</v>
      </c>
      <c r="I26" s="5">
        <v>44440</v>
      </c>
      <c r="J26" s="6">
        <v>0</v>
      </c>
      <c r="K26" s="6">
        <v>0</v>
      </c>
      <c r="L26" s="6">
        <v>793.62900000000002</v>
      </c>
      <c r="M26" s="6">
        <v>793.62900000000002</v>
      </c>
      <c r="N26" s="6">
        <v>793.62900000000002</v>
      </c>
      <c r="O26" s="6">
        <v>793.62900000000002</v>
      </c>
      <c r="P26" s="6">
        <v>0</v>
      </c>
      <c r="Q26" s="4" t="s">
        <v>26</v>
      </c>
      <c r="R26" s="4">
        <v>0</v>
      </c>
      <c r="S26" s="4" t="s">
        <v>108</v>
      </c>
      <c r="T26" s="4" t="s">
        <v>219</v>
      </c>
      <c r="U26" s="4">
        <v>0</v>
      </c>
      <c r="V26" s="4">
        <v>21</v>
      </c>
      <c r="W26" s="4">
        <v>30</v>
      </c>
    </row>
    <row r="27" spans="1:23" ht="11.25" customHeight="1" x14ac:dyDescent="0.25">
      <c r="A27" s="4" t="s">
        <v>21</v>
      </c>
      <c r="B27" s="4" t="s">
        <v>33</v>
      </c>
      <c r="C27" s="4" t="s">
        <v>37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36</v>
      </c>
      <c r="I27" s="5">
        <v>44470</v>
      </c>
      <c r="J27" s="6">
        <v>0</v>
      </c>
      <c r="K27" s="6">
        <v>0</v>
      </c>
      <c r="L27" s="6">
        <v>839.27700000000004</v>
      </c>
      <c r="M27" s="6">
        <v>839.27700000000004</v>
      </c>
      <c r="N27" s="6">
        <v>839.27700000000004</v>
      </c>
      <c r="O27" s="6">
        <v>839.27700000000004</v>
      </c>
      <c r="P27" s="6">
        <v>0</v>
      </c>
      <c r="Q27" s="4" t="s">
        <v>26</v>
      </c>
      <c r="R27" s="4">
        <v>0</v>
      </c>
      <c r="S27" s="4" t="s">
        <v>109</v>
      </c>
      <c r="T27" s="4" t="s">
        <v>220</v>
      </c>
      <c r="U27" s="4">
        <v>0</v>
      </c>
      <c r="V27" s="4">
        <v>21</v>
      </c>
      <c r="W27" s="4">
        <v>30</v>
      </c>
    </row>
    <row r="28" spans="1:23" ht="11.25" customHeight="1" x14ac:dyDescent="0.25">
      <c r="A28" s="4" t="s">
        <v>21</v>
      </c>
      <c r="B28" s="4" t="s">
        <v>33</v>
      </c>
      <c r="C28" s="4" t="s">
        <v>37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36</v>
      </c>
      <c r="I28" s="5">
        <v>44501</v>
      </c>
      <c r="J28" s="6">
        <v>0</v>
      </c>
      <c r="K28" s="6">
        <v>0</v>
      </c>
      <c r="L28" s="6">
        <v>813.45100000000002</v>
      </c>
      <c r="M28" s="6">
        <v>813.45100000000002</v>
      </c>
      <c r="N28" s="6">
        <v>813.45100000000002</v>
      </c>
      <c r="O28" s="6">
        <v>813.45100000000002</v>
      </c>
      <c r="P28" s="6">
        <v>0</v>
      </c>
      <c r="Q28" s="4" t="s">
        <v>26</v>
      </c>
      <c r="R28" s="4">
        <v>0</v>
      </c>
      <c r="S28" s="4" t="s">
        <v>110</v>
      </c>
      <c r="T28" s="4" t="s">
        <v>221</v>
      </c>
      <c r="U28" s="4">
        <v>0</v>
      </c>
      <c r="V28" s="4">
        <v>21</v>
      </c>
      <c r="W28" s="4">
        <v>30</v>
      </c>
    </row>
    <row r="29" spans="1:23" ht="11.25" customHeight="1" x14ac:dyDescent="0.25">
      <c r="A29" s="4" t="s">
        <v>21</v>
      </c>
      <c r="B29" s="4" t="s">
        <v>33</v>
      </c>
      <c r="C29" s="4" t="s">
        <v>37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36</v>
      </c>
      <c r="I29" s="5">
        <v>44531</v>
      </c>
      <c r="J29" s="6">
        <v>0</v>
      </c>
      <c r="K29" s="6">
        <v>0</v>
      </c>
      <c r="L29" s="6">
        <v>570.33299999999997</v>
      </c>
      <c r="M29" s="6">
        <v>570.33299999999997</v>
      </c>
      <c r="N29" s="6">
        <v>570.33299999999997</v>
      </c>
      <c r="O29" s="6">
        <v>570.33299999999997</v>
      </c>
      <c r="P29" s="6">
        <v>0</v>
      </c>
      <c r="Q29" s="4" t="s">
        <v>26</v>
      </c>
      <c r="R29" s="4">
        <v>0</v>
      </c>
      <c r="S29" s="4" t="s">
        <v>111</v>
      </c>
      <c r="T29" s="4" t="s">
        <v>222</v>
      </c>
      <c r="U29" s="4">
        <v>0</v>
      </c>
      <c r="V29" s="4">
        <v>21</v>
      </c>
      <c r="W29" s="4">
        <v>30</v>
      </c>
    </row>
    <row r="30" spans="1:23" ht="11.25" customHeight="1" x14ac:dyDescent="0.25">
      <c r="A30" s="4" t="s">
        <v>21</v>
      </c>
      <c r="B30" s="4" t="s">
        <v>33</v>
      </c>
      <c r="C30" s="4" t="s">
        <v>37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36</v>
      </c>
      <c r="I30" s="5">
        <v>44562</v>
      </c>
      <c r="J30" s="6">
        <v>0</v>
      </c>
      <c r="K30" s="6">
        <v>0</v>
      </c>
      <c r="L30" s="6">
        <v>540.96799999999996</v>
      </c>
      <c r="M30" s="6">
        <v>540.96799999999996</v>
      </c>
      <c r="N30" s="6">
        <v>540.96799999999996</v>
      </c>
      <c r="O30" s="6">
        <v>540.96799999999996</v>
      </c>
      <c r="P30" s="6">
        <v>0</v>
      </c>
      <c r="Q30" s="4" t="s">
        <v>26</v>
      </c>
      <c r="R30" s="4">
        <v>0</v>
      </c>
      <c r="S30" s="4" t="s">
        <v>112</v>
      </c>
      <c r="T30" s="4" t="s">
        <v>223</v>
      </c>
      <c r="U30" s="4">
        <v>0</v>
      </c>
      <c r="V30" s="4">
        <v>21</v>
      </c>
      <c r="W30" s="4">
        <v>30</v>
      </c>
    </row>
    <row r="31" spans="1:23" ht="11.25" customHeight="1" x14ac:dyDescent="0.25">
      <c r="A31" s="4" t="s">
        <v>21</v>
      </c>
      <c r="B31" s="4" t="s">
        <v>33</v>
      </c>
      <c r="C31" s="4" t="s">
        <v>37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36</v>
      </c>
      <c r="I31" s="5">
        <v>44593</v>
      </c>
      <c r="J31" s="6">
        <v>0</v>
      </c>
      <c r="K31" s="6">
        <v>0</v>
      </c>
      <c r="L31" s="6">
        <v>697.9</v>
      </c>
      <c r="M31" s="6">
        <v>697.9</v>
      </c>
      <c r="N31" s="6">
        <v>697.9</v>
      </c>
      <c r="O31" s="6">
        <v>697.9</v>
      </c>
      <c r="P31" s="6">
        <v>0</v>
      </c>
      <c r="Q31" s="4" t="s">
        <v>26</v>
      </c>
      <c r="R31" s="4">
        <v>0</v>
      </c>
      <c r="S31" s="4" t="s">
        <v>113</v>
      </c>
      <c r="T31" s="4" t="s">
        <v>224</v>
      </c>
      <c r="U31" s="4">
        <v>0</v>
      </c>
      <c r="V31" s="4">
        <v>21</v>
      </c>
      <c r="W31" s="4">
        <v>30</v>
      </c>
    </row>
    <row r="32" spans="1:23" ht="11.25" customHeight="1" x14ac:dyDescent="0.25">
      <c r="A32" s="4" t="s">
        <v>21</v>
      </c>
      <c r="B32" s="4" t="s">
        <v>33</v>
      </c>
      <c r="C32" s="4" t="s">
        <v>37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36</v>
      </c>
      <c r="I32" s="5">
        <v>44621</v>
      </c>
      <c r="J32" s="6">
        <v>0</v>
      </c>
      <c r="K32" s="6">
        <v>0</v>
      </c>
      <c r="L32" s="6">
        <v>812.10500000000002</v>
      </c>
      <c r="M32" s="6">
        <v>812.10500000000002</v>
      </c>
      <c r="N32" s="6">
        <v>812.10500000000002</v>
      </c>
      <c r="O32" s="6">
        <v>812.10500000000002</v>
      </c>
      <c r="P32" s="6">
        <v>0</v>
      </c>
      <c r="Q32" s="4" t="s">
        <v>26</v>
      </c>
      <c r="R32" s="4">
        <v>0</v>
      </c>
      <c r="S32" s="4" t="s">
        <v>114</v>
      </c>
      <c r="T32" s="4" t="s">
        <v>225</v>
      </c>
      <c r="U32" s="4">
        <v>0</v>
      </c>
      <c r="V32" s="4">
        <v>21</v>
      </c>
      <c r="W32" s="4">
        <v>30</v>
      </c>
    </row>
    <row r="33" spans="1:23" ht="11.25" customHeight="1" x14ac:dyDescent="0.25">
      <c r="A33" s="4" t="s">
        <v>21</v>
      </c>
      <c r="B33" s="4" t="s">
        <v>33</v>
      </c>
      <c r="C33" s="4" t="s">
        <v>37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36</v>
      </c>
      <c r="I33" s="5">
        <v>44652</v>
      </c>
      <c r="J33" s="6">
        <v>0</v>
      </c>
      <c r="K33" s="6">
        <v>0</v>
      </c>
      <c r="L33" s="6">
        <v>686.30200000000002</v>
      </c>
      <c r="M33" s="6">
        <v>686.30200000000002</v>
      </c>
      <c r="N33" s="6">
        <v>686.30200000000002</v>
      </c>
      <c r="O33" s="6">
        <v>686.30200000000002</v>
      </c>
      <c r="P33" s="6">
        <v>0</v>
      </c>
      <c r="Q33" s="4" t="s">
        <v>26</v>
      </c>
      <c r="R33" s="4">
        <v>0</v>
      </c>
      <c r="S33" s="4" t="s">
        <v>115</v>
      </c>
      <c r="T33" s="4" t="s">
        <v>226</v>
      </c>
      <c r="U33" s="4">
        <v>0</v>
      </c>
      <c r="V33" s="4">
        <v>21</v>
      </c>
      <c r="W33" s="4">
        <v>30</v>
      </c>
    </row>
    <row r="34" spans="1:23" ht="11.25" customHeight="1" x14ac:dyDescent="0.25">
      <c r="A34" s="4" t="s">
        <v>21</v>
      </c>
      <c r="B34" s="4" t="s">
        <v>33</v>
      </c>
      <c r="C34" s="4" t="s">
        <v>37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36</v>
      </c>
      <c r="I34" s="5">
        <v>44682</v>
      </c>
      <c r="J34" s="6">
        <v>0</v>
      </c>
      <c r="K34" s="6">
        <v>0</v>
      </c>
      <c r="L34" s="6">
        <v>821.25599999999997</v>
      </c>
      <c r="M34" s="6">
        <v>821.25599999999997</v>
      </c>
      <c r="N34" s="6">
        <v>821.25599999999997</v>
      </c>
      <c r="O34" s="6">
        <v>821.25599999999997</v>
      </c>
      <c r="P34" s="6">
        <v>0</v>
      </c>
      <c r="Q34" s="4" t="s">
        <v>26</v>
      </c>
      <c r="R34" s="4">
        <v>0</v>
      </c>
      <c r="S34" s="4" t="s">
        <v>116</v>
      </c>
      <c r="T34" s="4" t="s">
        <v>227</v>
      </c>
      <c r="U34" s="4">
        <v>0</v>
      </c>
      <c r="V34" s="4">
        <v>21</v>
      </c>
      <c r="W34" s="4">
        <v>30</v>
      </c>
    </row>
    <row r="35" spans="1:23" ht="11.25" customHeight="1" x14ac:dyDescent="0.25">
      <c r="A35" s="4" t="s">
        <v>21</v>
      </c>
      <c r="B35" s="4" t="s">
        <v>33</v>
      </c>
      <c r="C35" s="4" t="s">
        <v>37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36</v>
      </c>
      <c r="I35" s="5">
        <v>44713</v>
      </c>
      <c r="J35" s="6">
        <v>0</v>
      </c>
      <c r="K35" s="6">
        <v>0</v>
      </c>
      <c r="L35" s="6">
        <v>813.048</v>
      </c>
      <c r="M35" s="6">
        <v>813.048</v>
      </c>
      <c r="N35" s="6">
        <v>813.048</v>
      </c>
      <c r="O35" s="6">
        <v>813.048</v>
      </c>
      <c r="P35" s="6">
        <v>0</v>
      </c>
      <c r="Q35" s="4" t="s">
        <v>26</v>
      </c>
      <c r="R35" s="4">
        <v>0</v>
      </c>
      <c r="S35" s="4" t="s">
        <v>117</v>
      </c>
      <c r="T35" s="4" t="s">
        <v>228</v>
      </c>
      <c r="U35" s="4">
        <v>0</v>
      </c>
      <c r="V35" s="4">
        <v>21</v>
      </c>
      <c r="W35" s="4">
        <v>30</v>
      </c>
    </row>
    <row r="36" spans="1:23" ht="11.25" customHeight="1" x14ac:dyDescent="0.25">
      <c r="A36" s="4" t="s">
        <v>21</v>
      </c>
      <c r="B36" s="4" t="s">
        <v>33</v>
      </c>
      <c r="C36" s="4" t="s">
        <v>37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36</v>
      </c>
      <c r="I36" s="5">
        <v>44743</v>
      </c>
      <c r="J36" s="6">
        <v>0</v>
      </c>
      <c r="K36" s="6">
        <v>0</v>
      </c>
      <c r="L36" s="6">
        <v>783.96100000000001</v>
      </c>
      <c r="M36" s="6">
        <v>783.96100000000001</v>
      </c>
      <c r="N36" s="6">
        <v>783.96100000000001</v>
      </c>
      <c r="O36" s="6">
        <v>783.96100000000001</v>
      </c>
      <c r="P36" s="6">
        <v>0</v>
      </c>
      <c r="Q36" s="4" t="s">
        <v>26</v>
      </c>
      <c r="R36" s="4">
        <v>0</v>
      </c>
      <c r="S36" s="4" t="s">
        <v>118</v>
      </c>
      <c r="T36" s="4" t="s">
        <v>229</v>
      </c>
      <c r="U36" s="4">
        <v>0</v>
      </c>
      <c r="V36" s="4">
        <v>21</v>
      </c>
      <c r="W36" s="4">
        <v>30</v>
      </c>
    </row>
    <row r="37" spans="1:23" ht="11.25" customHeight="1" x14ac:dyDescent="0.25">
      <c r="A37" s="4" t="s">
        <v>21</v>
      </c>
      <c r="B37" s="4" t="s">
        <v>33</v>
      </c>
      <c r="C37" s="4" t="s">
        <v>37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36</v>
      </c>
      <c r="I37" s="5">
        <v>44774</v>
      </c>
      <c r="J37" s="6">
        <v>0</v>
      </c>
      <c r="K37" s="6">
        <v>0</v>
      </c>
      <c r="L37" s="6">
        <v>851.34699999999998</v>
      </c>
      <c r="M37" s="6">
        <v>851.34699999999998</v>
      </c>
      <c r="N37" s="6">
        <v>851.34699999999998</v>
      </c>
      <c r="O37" s="6">
        <v>851.34699999999998</v>
      </c>
      <c r="P37" s="6">
        <v>0</v>
      </c>
      <c r="Q37" s="4" t="s">
        <v>26</v>
      </c>
      <c r="R37" s="4">
        <v>0</v>
      </c>
      <c r="S37" s="4" t="s">
        <v>119</v>
      </c>
      <c r="T37" s="4" t="s">
        <v>230</v>
      </c>
      <c r="U37" s="4">
        <v>0</v>
      </c>
      <c r="V37" s="4">
        <v>21</v>
      </c>
      <c r="W37" s="4">
        <v>30</v>
      </c>
    </row>
    <row r="38" spans="1:23" ht="11.25" customHeight="1" x14ac:dyDescent="0.25">
      <c r="A38" s="4" t="s">
        <v>21</v>
      </c>
      <c r="B38" s="4" t="s">
        <v>33</v>
      </c>
      <c r="C38" s="4" t="s">
        <v>37</v>
      </c>
      <c r="D38" s="4" t="s">
        <v>32</v>
      </c>
      <c r="E38" s="4" t="s">
        <v>25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3766</v>
      </c>
      <c r="K38" s="6">
        <v>3766</v>
      </c>
      <c r="L38" s="6">
        <v>0</v>
      </c>
      <c r="M38" s="6">
        <v>0</v>
      </c>
      <c r="N38" s="6">
        <v>0</v>
      </c>
      <c r="O38" s="6">
        <v>0</v>
      </c>
      <c r="P38" s="6">
        <v>12</v>
      </c>
      <c r="Q38" s="4" t="s">
        <v>26</v>
      </c>
      <c r="R38" s="4">
        <v>0</v>
      </c>
      <c r="S38" s="4" t="s">
        <v>120</v>
      </c>
      <c r="U38" s="4">
        <v>14</v>
      </c>
      <c r="V38" s="4">
        <v>0</v>
      </c>
      <c r="W38" s="4">
        <v>0</v>
      </c>
    </row>
    <row r="39" spans="1:23" ht="11.25" customHeight="1" x14ac:dyDescent="0.25">
      <c r="A39" s="4" t="s">
        <v>21</v>
      </c>
      <c r="B39" s="4" t="s">
        <v>33</v>
      </c>
      <c r="C39" s="4" t="s">
        <v>37</v>
      </c>
      <c r="D39" s="4" t="s">
        <v>32</v>
      </c>
      <c r="E39" s="4" t="s">
        <v>25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3770</v>
      </c>
      <c r="K39" s="6">
        <v>3770</v>
      </c>
      <c r="L39" s="6">
        <v>0</v>
      </c>
      <c r="M39" s="6">
        <v>0</v>
      </c>
      <c r="N39" s="6">
        <v>0</v>
      </c>
      <c r="O39" s="6">
        <v>0</v>
      </c>
      <c r="P39" s="6">
        <v>12</v>
      </c>
      <c r="Q39" s="4" t="s">
        <v>26</v>
      </c>
      <c r="R39" s="4">
        <v>0</v>
      </c>
      <c r="S39" s="4" t="s">
        <v>121</v>
      </c>
      <c r="U39" s="4">
        <v>14</v>
      </c>
      <c r="V39" s="4">
        <v>0</v>
      </c>
      <c r="W39" s="4">
        <v>0</v>
      </c>
    </row>
    <row r="40" spans="1:23" ht="11.25" customHeight="1" x14ac:dyDescent="0.25">
      <c r="A40" s="4" t="s">
        <v>21</v>
      </c>
      <c r="B40" s="4" t="s">
        <v>33</v>
      </c>
      <c r="C40" s="4" t="s">
        <v>37</v>
      </c>
      <c r="D40" s="4" t="s">
        <v>32</v>
      </c>
      <c r="E40" s="4" t="s">
        <v>25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3791</v>
      </c>
      <c r="K40" s="6">
        <v>3791</v>
      </c>
      <c r="L40" s="6">
        <v>0</v>
      </c>
      <c r="M40" s="6">
        <v>0</v>
      </c>
      <c r="N40" s="6">
        <v>0</v>
      </c>
      <c r="O40" s="6">
        <v>0</v>
      </c>
      <c r="P40" s="6">
        <v>12</v>
      </c>
      <c r="Q40" s="4" t="s">
        <v>26</v>
      </c>
      <c r="R40" s="4">
        <v>0</v>
      </c>
      <c r="S40" s="4" t="s">
        <v>122</v>
      </c>
      <c r="U40" s="4">
        <v>14</v>
      </c>
      <c r="V40" s="4">
        <v>0</v>
      </c>
      <c r="W40" s="4">
        <v>0</v>
      </c>
    </row>
    <row r="41" spans="1:23" ht="11.25" customHeight="1" x14ac:dyDescent="0.25">
      <c r="A41" s="4" t="s">
        <v>21</v>
      </c>
      <c r="B41" s="4" t="s">
        <v>33</v>
      </c>
      <c r="C41" s="4" t="s">
        <v>37</v>
      </c>
      <c r="D41" s="4" t="s">
        <v>32</v>
      </c>
      <c r="E41" s="4" t="s">
        <v>25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3776</v>
      </c>
      <c r="K41" s="6">
        <v>3776</v>
      </c>
      <c r="L41" s="6">
        <v>0</v>
      </c>
      <c r="M41" s="6">
        <v>0</v>
      </c>
      <c r="N41" s="6">
        <v>0</v>
      </c>
      <c r="O41" s="6">
        <v>0</v>
      </c>
      <c r="P41" s="6">
        <v>12</v>
      </c>
      <c r="Q41" s="4" t="s">
        <v>26</v>
      </c>
      <c r="R41" s="4">
        <v>0</v>
      </c>
      <c r="S41" s="4" t="s">
        <v>123</v>
      </c>
      <c r="U41" s="4">
        <v>14</v>
      </c>
      <c r="V41" s="4">
        <v>0</v>
      </c>
      <c r="W41" s="4">
        <v>0</v>
      </c>
    </row>
    <row r="42" spans="1:23" ht="11.25" customHeight="1" x14ac:dyDescent="0.25">
      <c r="A42" s="4" t="s">
        <v>21</v>
      </c>
      <c r="B42" s="4" t="s">
        <v>33</v>
      </c>
      <c r="C42" s="4" t="s">
        <v>37</v>
      </c>
      <c r="D42" s="4" t="s">
        <v>32</v>
      </c>
      <c r="E42" s="4" t="s">
        <v>25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3775</v>
      </c>
      <c r="K42" s="6">
        <v>3775</v>
      </c>
      <c r="L42" s="6">
        <v>0</v>
      </c>
      <c r="M42" s="6">
        <v>0</v>
      </c>
      <c r="N42" s="6">
        <v>0</v>
      </c>
      <c r="O42" s="6">
        <v>0</v>
      </c>
      <c r="P42" s="6">
        <v>12</v>
      </c>
      <c r="Q42" s="4" t="s">
        <v>26</v>
      </c>
      <c r="R42" s="4">
        <v>0</v>
      </c>
      <c r="S42" s="4" t="s">
        <v>124</v>
      </c>
      <c r="U42" s="4">
        <v>14</v>
      </c>
      <c r="V42" s="4">
        <v>0</v>
      </c>
      <c r="W42" s="4">
        <v>0</v>
      </c>
    </row>
    <row r="43" spans="1:23" ht="11.25" customHeight="1" x14ac:dyDescent="0.25">
      <c r="A43" s="4" t="s">
        <v>21</v>
      </c>
      <c r="B43" s="4" t="s">
        <v>33</v>
      </c>
      <c r="C43" s="4" t="s">
        <v>37</v>
      </c>
      <c r="D43" s="4" t="s">
        <v>32</v>
      </c>
      <c r="E43" s="4" t="s">
        <v>25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3778</v>
      </c>
      <c r="K43" s="6">
        <v>3778</v>
      </c>
      <c r="L43" s="6">
        <v>0</v>
      </c>
      <c r="M43" s="6">
        <v>0</v>
      </c>
      <c r="N43" s="6">
        <v>0</v>
      </c>
      <c r="O43" s="6">
        <v>0</v>
      </c>
      <c r="P43" s="6">
        <v>12</v>
      </c>
      <c r="Q43" s="4" t="s">
        <v>26</v>
      </c>
      <c r="R43" s="4">
        <v>0</v>
      </c>
      <c r="S43" s="4" t="s">
        <v>125</v>
      </c>
      <c r="U43" s="4">
        <v>14</v>
      </c>
      <c r="V43" s="4">
        <v>0</v>
      </c>
      <c r="W43" s="4">
        <v>0</v>
      </c>
    </row>
    <row r="44" spans="1:23" ht="11.25" customHeight="1" x14ac:dyDescent="0.25">
      <c r="A44" s="4" t="s">
        <v>21</v>
      </c>
      <c r="B44" s="4" t="s">
        <v>33</v>
      </c>
      <c r="C44" s="4" t="s">
        <v>37</v>
      </c>
      <c r="D44" s="4" t="s">
        <v>32</v>
      </c>
      <c r="E44" s="4" t="s">
        <v>25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3776</v>
      </c>
      <c r="K44" s="6">
        <v>3776</v>
      </c>
      <c r="L44" s="6">
        <v>0</v>
      </c>
      <c r="M44" s="6">
        <v>0</v>
      </c>
      <c r="N44" s="6">
        <v>0</v>
      </c>
      <c r="O44" s="6">
        <v>0</v>
      </c>
      <c r="P44" s="6">
        <v>12</v>
      </c>
      <c r="Q44" s="4" t="s">
        <v>26</v>
      </c>
      <c r="R44" s="4">
        <v>0</v>
      </c>
      <c r="S44" s="4" t="s">
        <v>126</v>
      </c>
      <c r="U44" s="4">
        <v>14</v>
      </c>
      <c r="V44" s="4">
        <v>0</v>
      </c>
      <c r="W44" s="4">
        <v>0</v>
      </c>
    </row>
    <row r="45" spans="1:23" ht="11.25" customHeight="1" x14ac:dyDescent="0.25">
      <c r="A45" s="4" t="s">
        <v>21</v>
      </c>
      <c r="B45" s="4" t="s">
        <v>33</v>
      </c>
      <c r="C45" s="4" t="s">
        <v>37</v>
      </c>
      <c r="D45" s="4" t="s">
        <v>32</v>
      </c>
      <c r="E45" s="4" t="s">
        <v>25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3788</v>
      </c>
      <c r="K45" s="6">
        <v>3788</v>
      </c>
      <c r="L45" s="6">
        <v>0</v>
      </c>
      <c r="M45" s="6">
        <v>0</v>
      </c>
      <c r="N45" s="6">
        <v>0</v>
      </c>
      <c r="O45" s="6">
        <v>0</v>
      </c>
      <c r="P45" s="6">
        <v>12</v>
      </c>
      <c r="Q45" s="4" t="s">
        <v>26</v>
      </c>
      <c r="R45" s="4">
        <v>0</v>
      </c>
      <c r="S45" s="4" t="s">
        <v>127</v>
      </c>
      <c r="U45" s="4">
        <v>14</v>
      </c>
      <c r="V45" s="4">
        <v>0</v>
      </c>
      <c r="W45" s="4">
        <v>0</v>
      </c>
    </row>
    <row r="46" spans="1:23" ht="11.25" customHeight="1" x14ac:dyDescent="0.25">
      <c r="A46" s="4" t="s">
        <v>21</v>
      </c>
      <c r="B46" s="4" t="s">
        <v>33</v>
      </c>
      <c r="C46" s="4" t="s">
        <v>37</v>
      </c>
      <c r="D46" s="4" t="s">
        <v>32</v>
      </c>
      <c r="E46" s="4" t="s">
        <v>25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3810</v>
      </c>
      <c r="K46" s="6">
        <v>3810</v>
      </c>
      <c r="L46" s="6">
        <v>0</v>
      </c>
      <c r="M46" s="6">
        <v>0</v>
      </c>
      <c r="N46" s="6">
        <v>0</v>
      </c>
      <c r="O46" s="6">
        <v>0</v>
      </c>
      <c r="P46" s="6">
        <v>12</v>
      </c>
      <c r="Q46" s="4" t="s">
        <v>26</v>
      </c>
      <c r="R46" s="4">
        <v>0</v>
      </c>
      <c r="S46" s="4" t="s">
        <v>128</v>
      </c>
      <c r="U46" s="4">
        <v>14</v>
      </c>
      <c r="V46" s="4">
        <v>0</v>
      </c>
      <c r="W46" s="4">
        <v>0</v>
      </c>
    </row>
    <row r="47" spans="1:23" ht="11.25" customHeight="1" x14ac:dyDescent="0.25">
      <c r="A47" s="4" t="s">
        <v>21</v>
      </c>
      <c r="B47" s="4" t="s">
        <v>33</v>
      </c>
      <c r="C47" s="4" t="s">
        <v>37</v>
      </c>
      <c r="D47" s="4" t="s">
        <v>32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3814</v>
      </c>
      <c r="K47" s="6">
        <v>3814</v>
      </c>
      <c r="L47" s="6">
        <v>0</v>
      </c>
      <c r="M47" s="6">
        <v>0</v>
      </c>
      <c r="N47" s="6">
        <v>0</v>
      </c>
      <c r="O47" s="6">
        <v>0</v>
      </c>
      <c r="P47" s="6">
        <v>12</v>
      </c>
      <c r="Q47" s="4" t="s">
        <v>26</v>
      </c>
      <c r="R47" s="4">
        <v>0</v>
      </c>
      <c r="S47" s="4" t="s">
        <v>129</v>
      </c>
      <c r="U47" s="4">
        <v>14</v>
      </c>
      <c r="V47" s="4">
        <v>0</v>
      </c>
      <c r="W47" s="4">
        <v>0</v>
      </c>
    </row>
    <row r="48" spans="1:23" ht="11.25" customHeight="1" x14ac:dyDescent="0.25">
      <c r="A48" s="4" t="s">
        <v>21</v>
      </c>
      <c r="B48" s="4" t="s">
        <v>33</v>
      </c>
      <c r="C48" s="4" t="s">
        <v>37</v>
      </c>
      <c r="D48" s="4" t="s">
        <v>32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3470</v>
      </c>
      <c r="K48" s="6">
        <v>3470</v>
      </c>
      <c r="L48" s="6">
        <v>0</v>
      </c>
      <c r="M48" s="6">
        <v>0</v>
      </c>
      <c r="N48" s="6">
        <v>0</v>
      </c>
      <c r="O48" s="6">
        <v>0</v>
      </c>
      <c r="P48" s="6">
        <v>12</v>
      </c>
      <c r="Q48" s="4" t="s">
        <v>26</v>
      </c>
      <c r="R48" s="4">
        <v>0</v>
      </c>
      <c r="S48" s="4" t="s">
        <v>130</v>
      </c>
      <c r="U48" s="4">
        <v>14</v>
      </c>
      <c r="V48" s="4">
        <v>0</v>
      </c>
      <c r="W48" s="4">
        <v>0</v>
      </c>
    </row>
    <row r="49" spans="1:23" ht="11.25" customHeight="1" x14ac:dyDescent="0.25">
      <c r="A49" s="4" t="s">
        <v>21</v>
      </c>
      <c r="B49" s="4" t="s">
        <v>33</v>
      </c>
      <c r="C49" s="4" t="s">
        <v>37</v>
      </c>
      <c r="D49" s="4" t="s">
        <v>32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3473</v>
      </c>
      <c r="K49" s="6">
        <v>3473</v>
      </c>
      <c r="L49" s="6">
        <v>0</v>
      </c>
      <c r="M49" s="6">
        <v>0</v>
      </c>
      <c r="N49" s="6">
        <v>0</v>
      </c>
      <c r="O49" s="6">
        <v>0</v>
      </c>
      <c r="P49" s="6">
        <v>12</v>
      </c>
      <c r="Q49" s="4" t="s">
        <v>26</v>
      </c>
      <c r="R49" s="4">
        <v>0</v>
      </c>
      <c r="S49" s="4" t="s">
        <v>131</v>
      </c>
      <c r="U49" s="4">
        <v>14</v>
      </c>
      <c r="V49" s="4">
        <v>0</v>
      </c>
      <c r="W49" s="4">
        <v>0</v>
      </c>
    </row>
    <row r="50" spans="1:23" ht="11.25" customHeight="1" x14ac:dyDescent="0.25">
      <c r="A50" s="4" t="s">
        <v>21</v>
      </c>
      <c r="B50" s="4" t="s">
        <v>33</v>
      </c>
      <c r="C50" s="4" t="s">
        <v>37</v>
      </c>
      <c r="D50" s="4" t="s">
        <v>32</v>
      </c>
      <c r="E50" s="4" t="s">
        <v>25</v>
      </c>
      <c r="F50" s="4" t="s">
        <v>25</v>
      </c>
      <c r="G50" s="4" t="s">
        <v>25</v>
      </c>
      <c r="H50" s="4" t="s">
        <v>35</v>
      </c>
      <c r="I50" s="5">
        <v>44440</v>
      </c>
      <c r="J50" s="6">
        <v>0</v>
      </c>
      <c r="K50" s="6">
        <v>0</v>
      </c>
      <c r="L50" s="6">
        <v>72.278000000000006</v>
      </c>
      <c r="M50" s="6">
        <v>72.278000000000006</v>
      </c>
      <c r="N50" s="6">
        <v>72.278000000000006</v>
      </c>
      <c r="O50" s="6">
        <v>72.278000000000006</v>
      </c>
      <c r="P50" s="6">
        <v>0</v>
      </c>
      <c r="Q50" s="4" t="s">
        <v>26</v>
      </c>
      <c r="R50" s="4">
        <v>0</v>
      </c>
      <c r="S50" s="4" t="s">
        <v>132</v>
      </c>
      <c r="T50" s="4" t="s">
        <v>231</v>
      </c>
      <c r="U50" s="4">
        <v>0</v>
      </c>
      <c r="V50" s="4">
        <v>28</v>
      </c>
      <c r="W50" s="4">
        <v>45</v>
      </c>
    </row>
    <row r="51" spans="1:23" ht="11.25" customHeight="1" x14ac:dyDescent="0.25">
      <c r="A51" s="4" t="s">
        <v>21</v>
      </c>
      <c r="B51" s="4" t="s">
        <v>33</v>
      </c>
      <c r="C51" s="4" t="s">
        <v>37</v>
      </c>
      <c r="D51" s="4" t="s">
        <v>32</v>
      </c>
      <c r="E51" s="4" t="s">
        <v>25</v>
      </c>
      <c r="F51" s="4" t="s">
        <v>25</v>
      </c>
      <c r="G51" s="4" t="s">
        <v>25</v>
      </c>
      <c r="H51" s="4" t="s">
        <v>35</v>
      </c>
      <c r="I51" s="5">
        <v>44470</v>
      </c>
      <c r="J51" s="6">
        <v>0</v>
      </c>
      <c r="K51" s="6">
        <v>0</v>
      </c>
      <c r="L51" s="6">
        <v>74.361000000000004</v>
      </c>
      <c r="M51" s="6">
        <v>74.361000000000004</v>
      </c>
      <c r="N51" s="6">
        <v>74.361000000000004</v>
      </c>
      <c r="O51" s="6">
        <v>74.361000000000004</v>
      </c>
      <c r="P51" s="6">
        <v>0</v>
      </c>
      <c r="Q51" s="4" t="s">
        <v>26</v>
      </c>
      <c r="R51" s="4">
        <v>0</v>
      </c>
      <c r="S51" s="4" t="s">
        <v>133</v>
      </c>
      <c r="T51" s="4" t="s">
        <v>232</v>
      </c>
      <c r="U51" s="4">
        <v>0</v>
      </c>
      <c r="V51" s="4">
        <v>28</v>
      </c>
      <c r="W51" s="4">
        <v>45</v>
      </c>
    </row>
    <row r="52" spans="1:23" ht="11.25" customHeight="1" x14ac:dyDescent="0.25">
      <c r="A52" s="4" t="s">
        <v>21</v>
      </c>
      <c r="B52" s="4" t="s">
        <v>33</v>
      </c>
      <c r="C52" s="4" t="s">
        <v>37</v>
      </c>
      <c r="D52" s="4" t="s">
        <v>32</v>
      </c>
      <c r="E52" s="4" t="s">
        <v>25</v>
      </c>
      <c r="F52" s="4" t="s">
        <v>25</v>
      </c>
      <c r="G52" s="4" t="s">
        <v>25</v>
      </c>
      <c r="H52" s="4" t="s">
        <v>35</v>
      </c>
      <c r="I52" s="5">
        <v>44501</v>
      </c>
      <c r="J52" s="6">
        <v>0</v>
      </c>
      <c r="K52" s="6">
        <v>0</v>
      </c>
      <c r="L52" s="6">
        <v>66.813000000000002</v>
      </c>
      <c r="M52" s="6">
        <v>66.813000000000002</v>
      </c>
      <c r="N52" s="6">
        <v>66.813000000000002</v>
      </c>
      <c r="O52" s="6">
        <v>66.813000000000002</v>
      </c>
      <c r="P52" s="6">
        <v>0</v>
      </c>
      <c r="Q52" s="4" t="s">
        <v>26</v>
      </c>
      <c r="R52" s="4">
        <v>0</v>
      </c>
      <c r="S52" s="4" t="s">
        <v>134</v>
      </c>
      <c r="T52" s="4" t="s">
        <v>233</v>
      </c>
      <c r="U52" s="4">
        <v>0</v>
      </c>
      <c r="V52" s="4">
        <v>28</v>
      </c>
      <c r="W52" s="4">
        <v>45</v>
      </c>
    </row>
    <row r="53" spans="1:23" ht="11.25" customHeight="1" x14ac:dyDescent="0.25">
      <c r="A53" s="4" t="s">
        <v>21</v>
      </c>
      <c r="B53" s="4" t="s">
        <v>33</v>
      </c>
      <c r="C53" s="4" t="s">
        <v>37</v>
      </c>
      <c r="D53" s="4" t="s">
        <v>32</v>
      </c>
      <c r="E53" s="4" t="s">
        <v>25</v>
      </c>
      <c r="F53" s="4" t="s">
        <v>25</v>
      </c>
      <c r="G53" s="4" t="s">
        <v>25</v>
      </c>
      <c r="H53" s="4" t="s">
        <v>35</v>
      </c>
      <c r="I53" s="5">
        <v>44531</v>
      </c>
      <c r="J53" s="6">
        <v>0</v>
      </c>
      <c r="K53" s="6">
        <v>0</v>
      </c>
      <c r="L53" s="6">
        <v>48.868000000000002</v>
      </c>
      <c r="M53" s="6">
        <v>48.868000000000002</v>
      </c>
      <c r="N53" s="6">
        <v>48.868000000000002</v>
      </c>
      <c r="O53" s="6">
        <v>48.868000000000002</v>
      </c>
      <c r="P53" s="6">
        <v>0</v>
      </c>
      <c r="Q53" s="4" t="s">
        <v>26</v>
      </c>
      <c r="R53" s="4">
        <v>0</v>
      </c>
      <c r="S53" s="4" t="s">
        <v>135</v>
      </c>
      <c r="T53" s="4" t="s">
        <v>234</v>
      </c>
      <c r="U53" s="4">
        <v>0</v>
      </c>
      <c r="V53" s="4">
        <v>28</v>
      </c>
      <c r="W53" s="4">
        <v>45</v>
      </c>
    </row>
    <row r="54" spans="1:23" ht="11.25" customHeight="1" x14ac:dyDescent="0.25">
      <c r="A54" s="4" t="s">
        <v>21</v>
      </c>
      <c r="B54" s="4" t="s">
        <v>33</v>
      </c>
      <c r="C54" s="4" t="s">
        <v>37</v>
      </c>
      <c r="D54" s="4" t="s">
        <v>32</v>
      </c>
      <c r="E54" s="4" t="s">
        <v>25</v>
      </c>
      <c r="F54" s="4" t="s">
        <v>25</v>
      </c>
      <c r="G54" s="4" t="s">
        <v>25</v>
      </c>
      <c r="H54" s="4" t="s">
        <v>35</v>
      </c>
      <c r="I54" s="5">
        <v>44562</v>
      </c>
      <c r="J54" s="6">
        <v>0</v>
      </c>
      <c r="K54" s="6">
        <v>0</v>
      </c>
      <c r="L54" s="6">
        <v>45.069000000000003</v>
      </c>
      <c r="M54" s="6">
        <v>45.069000000000003</v>
      </c>
      <c r="N54" s="6">
        <v>45.069000000000003</v>
      </c>
      <c r="O54" s="6">
        <v>45.069000000000003</v>
      </c>
      <c r="P54" s="6">
        <v>0</v>
      </c>
      <c r="Q54" s="4" t="s">
        <v>26</v>
      </c>
      <c r="R54" s="4">
        <v>0</v>
      </c>
      <c r="S54" s="4" t="s">
        <v>136</v>
      </c>
      <c r="T54" s="4" t="s">
        <v>235</v>
      </c>
      <c r="U54" s="4">
        <v>0</v>
      </c>
      <c r="V54" s="4">
        <v>28</v>
      </c>
      <c r="W54" s="4">
        <v>45</v>
      </c>
    </row>
    <row r="55" spans="1:23" ht="11.25" customHeight="1" x14ac:dyDescent="0.25">
      <c r="A55" s="4" t="s">
        <v>21</v>
      </c>
      <c r="B55" s="4" t="s">
        <v>33</v>
      </c>
      <c r="C55" s="4" t="s">
        <v>37</v>
      </c>
      <c r="D55" s="4" t="s">
        <v>32</v>
      </c>
      <c r="E55" s="4" t="s">
        <v>25</v>
      </c>
      <c r="F55" s="4" t="s">
        <v>25</v>
      </c>
      <c r="G55" s="4" t="s">
        <v>25</v>
      </c>
      <c r="H55" s="4" t="s">
        <v>35</v>
      </c>
      <c r="I55" s="5">
        <v>44593</v>
      </c>
      <c r="J55" s="6">
        <v>0</v>
      </c>
      <c r="K55" s="6">
        <v>0</v>
      </c>
      <c r="L55" s="6">
        <v>59.723999999999997</v>
      </c>
      <c r="M55" s="6">
        <v>59.723999999999997</v>
      </c>
      <c r="N55" s="6">
        <v>59.723999999999997</v>
      </c>
      <c r="O55" s="6">
        <v>59.723999999999997</v>
      </c>
      <c r="P55" s="6">
        <v>0</v>
      </c>
      <c r="Q55" s="4" t="s">
        <v>26</v>
      </c>
      <c r="R55" s="4">
        <v>0</v>
      </c>
      <c r="S55" s="4" t="s">
        <v>137</v>
      </c>
      <c r="T55" s="4" t="s">
        <v>236</v>
      </c>
      <c r="U55" s="4">
        <v>0</v>
      </c>
      <c r="V55" s="4">
        <v>28</v>
      </c>
      <c r="W55" s="4">
        <v>45</v>
      </c>
    </row>
    <row r="56" spans="1:23" ht="11.25" customHeight="1" x14ac:dyDescent="0.25">
      <c r="A56" s="4" t="s">
        <v>21</v>
      </c>
      <c r="B56" s="4" t="s">
        <v>33</v>
      </c>
      <c r="C56" s="4" t="s">
        <v>37</v>
      </c>
      <c r="D56" s="4" t="s">
        <v>32</v>
      </c>
      <c r="E56" s="4" t="s">
        <v>25</v>
      </c>
      <c r="F56" s="4" t="s">
        <v>25</v>
      </c>
      <c r="G56" s="4" t="s">
        <v>25</v>
      </c>
      <c r="H56" s="4" t="s">
        <v>35</v>
      </c>
      <c r="I56" s="5">
        <v>44621</v>
      </c>
      <c r="J56" s="6">
        <v>0</v>
      </c>
      <c r="K56" s="6">
        <v>0</v>
      </c>
      <c r="L56" s="6">
        <v>67.793999999999997</v>
      </c>
      <c r="M56" s="6">
        <v>67.793999999999997</v>
      </c>
      <c r="N56" s="6">
        <v>67.793999999999997</v>
      </c>
      <c r="O56" s="6">
        <v>67.793999999999997</v>
      </c>
      <c r="P56" s="6">
        <v>0</v>
      </c>
      <c r="Q56" s="4" t="s">
        <v>26</v>
      </c>
      <c r="R56" s="4">
        <v>0</v>
      </c>
      <c r="S56" s="4" t="s">
        <v>138</v>
      </c>
      <c r="T56" s="4" t="s">
        <v>237</v>
      </c>
      <c r="U56" s="4">
        <v>0</v>
      </c>
      <c r="V56" s="4">
        <v>28</v>
      </c>
      <c r="W56" s="4">
        <v>45</v>
      </c>
    </row>
    <row r="57" spans="1:23" ht="11.25" customHeight="1" x14ac:dyDescent="0.25">
      <c r="A57" s="4" t="s">
        <v>21</v>
      </c>
      <c r="B57" s="4" t="s">
        <v>33</v>
      </c>
      <c r="C57" s="4" t="s">
        <v>37</v>
      </c>
      <c r="D57" s="4" t="s">
        <v>32</v>
      </c>
      <c r="E57" s="4" t="s">
        <v>25</v>
      </c>
      <c r="F57" s="4" t="s">
        <v>25</v>
      </c>
      <c r="G57" s="4" t="s">
        <v>25</v>
      </c>
      <c r="H57" s="4" t="s">
        <v>35</v>
      </c>
      <c r="I57" s="5">
        <v>44652</v>
      </c>
      <c r="J57" s="6">
        <v>0</v>
      </c>
      <c r="K57" s="6">
        <v>0</v>
      </c>
      <c r="L57" s="6">
        <v>53.433</v>
      </c>
      <c r="M57" s="6">
        <v>53.433</v>
      </c>
      <c r="N57" s="6">
        <v>53.433</v>
      </c>
      <c r="O57" s="6">
        <v>53.433</v>
      </c>
      <c r="P57" s="6">
        <v>0</v>
      </c>
      <c r="Q57" s="4" t="s">
        <v>26</v>
      </c>
      <c r="R57" s="4">
        <v>0</v>
      </c>
      <c r="S57" s="4" t="s">
        <v>139</v>
      </c>
      <c r="T57" s="4" t="s">
        <v>238</v>
      </c>
      <c r="U57" s="4">
        <v>0</v>
      </c>
      <c r="V57" s="4">
        <v>28</v>
      </c>
      <c r="W57" s="4">
        <v>45</v>
      </c>
    </row>
    <row r="58" spans="1:23" ht="11.25" customHeight="1" x14ac:dyDescent="0.25">
      <c r="A58" s="4" t="s">
        <v>21</v>
      </c>
      <c r="B58" s="4" t="s">
        <v>33</v>
      </c>
      <c r="C58" s="4" t="s">
        <v>37</v>
      </c>
      <c r="D58" s="4" t="s">
        <v>32</v>
      </c>
      <c r="E58" s="4" t="s">
        <v>25</v>
      </c>
      <c r="F58" s="4" t="s">
        <v>25</v>
      </c>
      <c r="G58" s="4" t="s">
        <v>25</v>
      </c>
      <c r="H58" s="4" t="s">
        <v>35</v>
      </c>
      <c r="I58" s="5">
        <v>44682</v>
      </c>
      <c r="J58" s="6">
        <v>0</v>
      </c>
      <c r="K58" s="6">
        <v>0</v>
      </c>
      <c r="L58" s="6">
        <v>69.762</v>
      </c>
      <c r="M58" s="6">
        <v>69.762</v>
      </c>
      <c r="N58" s="6">
        <v>69.762</v>
      </c>
      <c r="O58" s="6">
        <v>69.762</v>
      </c>
      <c r="P58" s="6">
        <v>0</v>
      </c>
      <c r="Q58" s="4" t="s">
        <v>26</v>
      </c>
      <c r="R58" s="4">
        <v>0</v>
      </c>
      <c r="S58" s="4" t="s">
        <v>140</v>
      </c>
      <c r="T58" s="4" t="s">
        <v>239</v>
      </c>
      <c r="U58" s="4">
        <v>0</v>
      </c>
      <c r="V58" s="4">
        <v>28</v>
      </c>
      <c r="W58" s="4">
        <v>45</v>
      </c>
    </row>
    <row r="59" spans="1:23" ht="11.25" customHeight="1" x14ac:dyDescent="0.25">
      <c r="A59" s="4" t="s">
        <v>21</v>
      </c>
      <c r="B59" s="4" t="s">
        <v>33</v>
      </c>
      <c r="C59" s="4" t="s">
        <v>37</v>
      </c>
      <c r="D59" s="4" t="s">
        <v>32</v>
      </c>
      <c r="E59" s="4" t="s">
        <v>25</v>
      </c>
      <c r="F59" s="4" t="s">
        <v>25</v>
      </c>
      <c r="G59" s="4" t="s">
        <v>25</v>
      </c>
      <c r="H59" s="4" t="s">
        <v>35</v>
      </c>
      <c r="I59" s="5">
        <v>44713</v>
      </c>
      <c r="J59" s="6">
        <v>0</v>
      </c>
      <c r="K59" s="6">
        <v>0</v>
      </c>
      <c r="L59" s="6">
        <v>69.900999999999996</v>
      </c>
      <c r="M59" s="6">
        <v>69.900999999999996</v>
      </c>
      <c r="N59" s="6">
        <v>69.900999999999996</v>
      </c>
      <c r="O59" s="6">
        <v>69.900999999999996</v>
      </c>
      <c r="P59" s="6">
        <v>0</v>
      </c>
      <c r="Q59" s="4" t="s">
        <v>26</v>
      </c>
      <c r="R59" s="4">
        <v>0</v>
      </c>
      <c r="S59" s="4" t="s">
        <v>141</v>
      </c>
      <c r="T59" s="4" t="s">
        <v>240</v>
      </c>
      <c r="U59" s="4">
        <v>0</v>
      </c>
      <c r="V59" s="4">
        <v>28</v>
      </c>
      <c r="W59" s="4">
        <v>45</v>
      </c>
    </row>
    <row r="60" spans="1:23" ht="11.25" customHeight="1" x14ac:dyDescent="0.25">
      <c r="A60" s="4" t="s">
        <v>21</v>
      </c>
      <c r="B60" s="4" t="s">
        <v>33</v>
      </c>
      <c r="C60" s="4" t="s">
        <v>37</v>
      </c>
      <c r="D60" s="4" t="s">
        <v>32</v>
      </c>
      <c r="E60" s="4" t="s">
        <v>25</v>
      </c>
      <c r="F60" s="4" t="s">
        <v>25</v>
      </c>
      <c r="G60" s="4" t="s">
        <v>25</v>
      </c>
      <c r="H60" s="4" t="s">
        <v>35</v>
      </c>
      <c r="I60" s="5">
        <v>44743</v>
      </c>
      <c r="J60" s="6">
        <v>0</v>
      </c>
      <c r="K60" s="6">
        <v>0</v>
      </c>
      <c r="L60" s="6">
        <v>70.543999999999997</v>
      </c>
      <c r="M60" s="6">
        <v>70.543999999999997</v>
      </c>
      <c r="N60" s="6">
        <v>70.543999999999997</v>
      </c>
      <c r="O60" s="6">
        <v>70.543999999999997</v>
      </c>
      <c r="P60" s="6">
        <v>0</v>
      </c>
      <c r="Q60" s="4" t="s">
        <v>26</v>
      </c>
      <c r="R60" s="4">
        <v>0</v>
      </c>
      <c r="S60" s="4" t="s">
        <v>142</v>
      </c>
      <c r="T60" s="4" t="s">
        <v>241</v>
      </c>
      <c r="U60" s="4">
        <v>0</v>
      </c>
      <c r="V60" s="4">
        <v>28</v>
      </c>
      <c r="W60" s="4">
        <v>45</v>
      </c>
    </row>
    <row r="61" spans="1:23" ht="11.25" customHeight="1" x14ac:dyDescent="0.25">
      <c r="A61" s="4" t="s">
        <v>21</v>
      </c>
      <c r="B61" s="4" t="s">
        <v>33</v>
      </c>
      <c r="C61" s="4" t="s">
        <v>37</v>
      </c>
      <c r="D61" s="4" t="s">
        <v>32</v>
      </c>
      <c r="E61" s="4" t="s">
        <v>25</v>
      </c>
      <c r="F61" s="4" t="s">
        <v>25</v>
      </c>
      <c r="G61" s="4" t="s">
        <v>25</v>
      </c>
      <c r="H61" s="4" t="s">
        <v>35</v>
      </c>
      <c r="I61" s="5">
        <v>44774</v>
      </c>
      <c r="J61" s="6">
        <v>0</v>
      </c>
      <c r="K61" s="6">
        <v>0</v>
      </c>
      <c r="L61" s="6">
        <v>72.47</v>
      </c>
      <c r="M61" s="6">
        <v>72.47</v>
      </c>
      <c r="N61" s="6">
        <v>72.47</v>
      </c>
      <c r="O61" s="6">
        <v>72.47</v>
      </c>
      <c r="P61" s="6">
        <v>0</v>
      </c>
      <c r="Q61" s="4" t="s">
        <v>26</v>
      </c>
      <c r="R61" s="4">
        <v>0</v>
      </c>
      <c r="S61" s="4" t="s">
        <v>143</v>
      </c>
      <c r="T61" s="4" t="s">
        <v>242</v>
      </c>
      <c r="U61" s="4">
        <v>0</v>
      </c>
      <c r="V61" s="4">
        <v>28</v>
      </c>
      <c r="W61" s="4">
        <v>45</v>
      </c>
    </row>
    <row r="62" spans="1:2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24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237.81800000000001</v>
      </c>
      <c r="M62" s="6">
        <v>237.81800000000001</v>
      </c>
      <c r="N62" s="6">
        <v>237.81800000000001</v>
      </c>
      <c r="O62" s="6">
        <v>237.81800000000001</v>
      </c>
      <c r="P62" s="6">
        <v>1033</v>
      </c>
      <c r="Q62" s="4" t="s">
        <v>26</v>
      </c>
      <c r="R62" s="4">
        <v>0</v>
      </c>
      <c r="S62" s="4" t="s">
        <v>144</v>
      </c>
      <c r="T62" s="4" t="s">
        <v>247</v>
      </c>
      <c r="U62" s="4">
        <v>0</v>
      </c>
      <c r="V62" s="4">
        <v>17</v>
      </c>
      <c r="W62" s="4">
        <v>52</v>
      </c>
    </row>
    <row r="63" spans="1:2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24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237.14400000000001</v>
      </c>
      <c r="M63" s="6">
        <v>237.14400000000001</v>
      </c>
      <c r="N63" s="6">
        <v>237.14400000000001</v>
      </c>
      <c r="O63" s="6">
        <v>237.14400000000001</v>
      </c>
      <c r="P63" s="6">
        <v>1029</v>
      </c>
      <c r="Q63" s="4" t="s">
        <v>26</v>
      </c>
      <c r="R63" s="4">
        <v>0</v>
      </c>
      <c r="S63" s="4" t="s">
        <v>145</v>
      </c>
      <c r="T63" s="4" t="s">
        <v>248</v>
      </c>
      <c r="U63" s="4">
        <v>0</v>
      </c>
      <c r="V63" s="4">
        <v>17</v>
      </c>
      <c r="W63" s="4">
        <v>52</v>
      </c>
    </row>
    <row r="64" spans="1:2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24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237.858</v>
      </c>
      <c r="M64" s="6">
        <v>237.858</v>
      </c>
      <c r="N64" s="6">
        <v>237.858</v>
      </c>
      <c r="O64" s="6">
        <v>237.858</v>
      </c>
      <c r="P64" s="6">
        <v>1032</v>
      </c>
      <c r="Q64" s="4" t="s">
        <v>26</v>
      </c>
      <c r="R64" s="4">
        <v>0</v>
      </c>
      <c r="S64" s="4" t="s">
        <v>146</v>
      </c>
      <c r="T64" s="4" t="s">
        <v>249</v>
      </c>
      <c r="U64" s="4">
        <v>0</v>
      </c>
      <c r="V64" s="4">
        <v>17</v>
      </c>
      <c r="W64" s="4">
        <v>52</v>
      </c>
    </row>
    <row r="65" spans="1:2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240.846</v>
      </c>
      <c r="M65" s="6">
        <v>240.846</v>
      </c>
      <c r="N65" s="6">
        <v>240.846</v>
      </c>
      <c r="O65" s="6">
        <v>240.846</v>
      </c>
      <c r="P65" s="6">
        <v>1037</v>
      </c>
      <c r="Q65" s="4" t="s">
        <v>26</v>
      </c>
      <c r="R65" s="4">
        <v>0</v>
      </c>
      <c r="S65" s="4" t="s">
        <v>147</v>
      </c>
      <c r="T65" s="4" t="s">
        <v>250</v>
      </c>
      <c r="U65" s="4">
        <v>0</v>
      </c>
      <c r="V65" s="4">
        <v>17</v>
      </c>
      <c r="W65" s="4">
        <v>52</v>
      </c>
    </row>
    <row r="66" spans="1:2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274.649</v>
      </c>
      <c r="M66" s="6">
        <v>274.649</v>
      </c>
      <c r="N66" s="6">
        <v>274.649</v>
      </c>
      <c r="O66" s="6">
        <v>274.649</v>
      </c>
      <c r="P66" s="6">
        <v>1038</v>
      </c>
      <c r="Q66" s="4" t="s">
        <v>26</v>
      </c>
      <c r="R66" s="4">
        <v>0</v>
      </c>
      <c r="S66" s="4" t="s">
        <v>148</v>
      </c>
      <c r="T66" s="4" t="s">
        <v>251</v>
      </c>
      <c r="U66" s="4">
        <v>0</v>
      </c>
      <c r="V66" s="4">
        <v>17</v>
      </c>
      <c r="W66" s="4">
        <v>52</v>
      </c>
    </row>
    <row r="67" spans="1:23" ht="11.25" customHeight="1" x14ac:dyDescent="0.25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277.30799999999999</v>
      </c>
      <c r="M67" s="6">
        <v>277.30799999999999</v>
      </c>
      <c r="N67" s="6">
        <v>277.30799999999999</v>
      </c>
      <c r="O67" s="6">
        <v>277.30799999999999</v>
      </c>
      <c r="P67" s="6">
        <v>1040</v>
      </c>
      <c r="Q67" s="4" t="s">
        <v>26</v>
      </c>
      <c r="R67" s="4">
        <v>0</v>
      </c>
      <c r="S67" s="4" t="s">
        <v>149</v>
      </c>
      <c r="T67" s="4" t="s">
        <v>252</v>
      </c>
      <c r="U67" s="4">
        <v>0</v>
      </c>
      <c r="V67" s="4">
        <v>17</v>
      </c>
      <c r="W67" s="4">
        <v>52</v>
      </c>
    </row>
    <row r="68" spans="1:23" ht="11.25" customHeight="1" x14ac:dyDescent="0.25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252.50700000000001</v>
      </c>
      <c r="M68" s="6">
        <v>252.50700000000001</v>
      </c>
      <c r="N68" s="6">
        <v>252.50700000000001</v>
      </c>
      <c r="O68" s="6">
        <v>252.50700000000001</v>
      </c>
      <c r="P68" s="6">
        <v>1046</v>
      </c>
      <c r="Q68" s="4" t="s">
        <v>26</v>
      </c>
      <c r="R68" s="4">
        <v>0</v>
      </c>
      <c r="S68" s="4" t="s">
        <v>150</v>
      </c>
      <c r="T68" s="4" t="s">
        <v>253</v>
      </c>
      <c r="U68" s="4">
        <v>0</v>
      </c>
      <c r="V68" s="4">
        <v>17</v>
      </c>
      <c r="W68" s="4">
        <v>52</v>
      </c>
    </row>
    <row r="69" spans="1:23" ht="11.25" customHeight="1" x14ac:dyDescent="0.25">
      <c r="A69" s="4" t="s">
        <v>21</v>
      </c>
      <c r="B69" s="4" t="s">
        <v>22</v>
      </c>
      <c r="C69" s="4" t="s">
        <v>23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25</v>
      </c>
      <c r="I69" s="5">
        <v>44652</v>
      </c>
      <c r="J69" s="6">
        <v>0</v>
      </c>
      <c r="K69" s="6">
        <v>0</v>
      </c>
      <c r="L69" s="6">
        <v>259.29199999999997</v>
      </c>
      <c r="M69" s="6">
        <v>259.29199999999997</v>
      </c>
      <c r="N69" s="6">
        <v>259.29199999999997</v>
      </c>
      <c r="O69" s="6">
        <v>259.29199999999997</v>
      </c>
      <c r="P69" s="6">
        <v>1052</v>
      </c>
      <c r="Q69" s="4" t="s">
        <v>26</v>
      </c>
      <c r="R69" s="4">
        <v>0</v>
      </c>
      <c r="S69" s="4" t="s">
        <v>151</v>
      </c>
      <c r="T69" s="4" t="s">
        <v>254</v>
      </c>
      <c r="U69" s="4">
        <v>0</v>
      </c>
      <c r="V69" s="4">
        <v>17</v>
      </c>
      <c r="W69" s="4">
        <v>52</v>
      </c>
    </row>
    <row r="70" spans="1:23" ht="11.25" customHeight="1" x14ac:dyDescent="0.25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25</v>
      </c>
      <c r="I70" s="5">
        <v>44682</v>
      </c>
      <c r="J70" s="6">
        <v>0</v>
      </c>
      <c r="K70" s="6">
        <v>0</v>
      </c>
      <c r="L70" s="6">
        <v>229.471</v>
      </c>
      <c r="M70" s="6">
        <v>229.471</v>
      </c>
      <c r="N70" s="6">
        <v>229.471</v>
      </c>
      <c r="O70" s="6">
        <v>229.471</v>
      </c>
      <c r="P70" s="6">
        <v>1043</v>
      </c>
      <c r="Q70" s="4" t="s">
        <v>26</v>
      </c>
      <c r="R70" s="4">
        <v>0</v>
      </c>
      <c r="S70" s="4" t="s">
        <v>152</v>
      </c>
      <c r="T70" s="4" t="s">
        <v>255</v>
      </c>
      <c r="U70" s="4">
        <v>0</v>
      </c>
      <c r="V70" s="4">
        <v>17</v>
      </c>
      <c r="W70" s="4">
        <v>52</v>
      </c>
    </row>
    <row r="71" spans="1:23" ht="11.25" customHeight="1" x14ac:dyDescent="0.25">
      <c r="A71" s="4" t="s">
        <v>21</v>
      </c>
      <c r="B71" s="4" t="s">
        <v>22</v>
      </c>
      <c r="C71" s="4" t="s">
        <v>23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25</v>
      </c>
      <c r="I71" s="5">
        <v>44713</v>
      </c>
      <c r="J71" s="6">
        <v>0</v>
      </c>
      <c r="K71" s="6">
        <v>0</v>
      </c>
      <c r="L71" s="6">
        <v>237.602</v>
      </c>
      <c r="M71" s="6">
        <v>237.602</v>
      </c>
      <c r="N71" s="6">
        <v>237.602</v>
      </c>
      <c r="O71" s="6">
        <v>237.602</v>
      </c>
      <c r="P71" s="6">
        <v>1042</v>
      </c>
      <c r="Q71" s="4" t="s">
        <v>26</v>
      </c>
      <c r="R71" s="4">
        <v>0</v>
      </c>
      <c r="S71" s="4" t="s">
        <v>153</v>
      </c>
      <c r="T71" s="4" t="s">
        <v>256</v>
      </c>
      <c r="U71" s="4">
        <v>0</v>
      </c>
      <c r="V71" s="4">
        <v>17</v>
      </c>
      <c r="W71" s="4">
        <v>52</v>
      </c>
    </row>
    <row r="72" spans="1:23" ht="11.25" customHeight="1" x14ac:dyDescent="0.25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25</v>
      </c>
      <c r="I72" s="5">
        <v>44743</v>
      </c>
      <c r="J72" s="6">
        <v>0</v>
      </c>
      <c r="K72" s="6">
        <v>0</v>
      </c>
      <c r="L72" s="6">
        <v>238.339</v>
      </c>
      <c r="M72" s="6">
        <v>238.339</v>
      </c>
      <c r="N72" s="6">
        <v>238.339</v>
      </c>
      <c r="O72" s="6">
        <v>238.339</v>
      </c>
      <c r="P72" s="6">
        <v>1042</v>
      </c>
      <c r="Q72" s="4" t="s">
        <v>26</v>
      </c>
      <c r="R72" s="4">
        <v>0</v>
      </c>
      <c r="S72" s="4" t="s">
        <v>154</v>
      </c>
      <c r="T72" s="4" t="s">
        <v>257</v>
      </c>
      <c r="U72" s="4">
        <v>0</v>
      </c>
      <c r="V72" s="4">
        <v>17</v>
      </c>
      <c r="W72" s="4">
        <v>52</v>
      </c>
    </row>
    <row r="73" spans="1:23" ht="11.25" customHeight="1" x14ac:dyDescent="0.25">
      <c r="A73" s="4" t="s">
        <v>21</v>
      </c>
      <c r="B73" s="4" t="s">
        <v>22</v>
      </c>
      <c r="C73" s="4" t="s">
        <v>23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25</v>
      </c>
      <c r="I73" s="5">
        <v>44774</v>
      </c>
      <c r="J73" s="6">
        <v>0</v>
      </c>
      <c r="K73" s="6">
        <v>0</v>
      </c>
      <c r="L73" s="6">
        <v>245.88</v>
      </c>
      <c r="M73" s="6">
        <v>245.88</v>
      </c>
      <c r="N73" s="6">
        <v>245.88</v>
      </c>
      <c r="O73" s="6">
        <v>245.88</v>
      </c>
      <c r="P73" s="6">
        <v>1041</v>
      </c>
      <c r="Q73" s="4" t="s">
        <v>26</v>
      </c>
      <c r="R73" s="4">
        <v>0</v>
      </c>
      <c r="S73" s="4" t="s">
        <v>155</v>
      </c>
      <c r="T73" s="4" t="s">
        <v>258</v>
      </c>
      <c r="U73" s="4">
        <v>0</v>
      </c>
      <c r="V73" s="4">
        <v>17</v>
      </c>
      <c r="W73" s="4">
        <v>52</v>
      </c>
    </row>
    <row r="74" spans="1:23" ht="11.25" customHeight="1" x14ac:dyDescent="0.25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27</v>
      </c>
      <c r="F74" s="4" t="s">
        <v>25</v>
      </c>
      <c r="G74" s="4" t="s">
        <v>25</v>
      </c>
      <c r="H74" s="4" t="s">
        <v>25</v>
      </c>
      <c r="I74" s="5">
        <v>44440</v>
      </c>
      <c r="J74" s="6">
        <v>0</v>
      </c>
      <c r="K74" s="6">
        <v>0</v>
      </c>
      <c r="L74" s="6">
        <v>0.06</v>
      </c>
      <c r="M74" s="6">
        <v>0.06</v>
      </c>
      <c r="N74" s="6">
        <v>0.06</v>
      </c>
      <c r="O74" s="6">
        <v>0.06</v>
      </c>
      <c r="P74" s="6">
        <v>0</v>
      </c>
      <c r="Q74" s="4" t="s">
        <v>26</v>
      </c>
      <c r="R74" s="4">
        <v>0</v>
      </c>
      <c r="S74" s="4" t="s">
        <v>156</v>
      </c>
      <c r="T74" s="4" t="s">
        <v>259</v>
      </c>
      <c r="U74" s="4">
        <v>0</v>
      </c>
      <c r="V74" s="4">
        <v>4</v>
      </c>
      <c r="W74" s="4">
        <v>54</v>
      </c>
    </row>
    <row r="75" spans="1:23" ht="11.25" customHeight="1" x14ac:dyDescent="0.25">
      <c r="A75" s="4" t="s">
        <v>21</v>
      </c>
      <c r="B75" s="4" t="s">
        <v>22</v>
      </c>
      <c r="C75" s="4" t="s">
        <v>23</v>
      </c>
      <c r="D75" s="4" t="s">
        <v>24</v>
      </c>
      <c r="E75" s="4" t="s">
        <v>27</v>
      </c>
      <c r="F75" s="4" t="s">
        <v>25</v>
      </c>
      <c r="G75" s="4" t="s">
        <v>25</v>
      </c>
      <c r="H75" s="4" t="s">
        <v>25</v>
      </c>
      <c r="I75" s="5">
        <v>44470</v>
      </c>
      <c r="J75" s="6">
        <v>0</v>
      </c>
      <c r="K75" s="6">
        <v>0</v>
      </c>
      <c r="L75" s="6">
        <v>0.189</v>
      </c>
      <c r="M75" s="6">
        <v>0.189</v>
      </c>
      <c r="N75" s="6">
        <v>0.189</v>
      </c>
      <c r="O75" s="6">
        <v>0.189</v>
      </c>
      <c r="P75" s="6">
        <v>1</v>
      </c>
      <c r="Q75" s="4" t="s">
        <v>26</v>
      </c>
      <c r="R75" s="4">
        <v>0</v>
      </c>
      <c r="S75" s="4" t="s">
        <v>157</v>
      </c>
      <c r="T75" s="4" t="s">
        <v>260</v>
      </c>
      <c r="U75" s="4">
        <v>0</v>
      </c>
      <c r="V75" s="4">
        <v>4</v>
      </c>
      <c r="W75" s="4">
        <v>54</v>
      </c>
    </row>
    <row r="76" spans="1:23" ht="11.25" customHeight="1" x14ac:dyDescent="0.25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27</v>
      </c>
      <c r="F76" s="4" t="s">
        <v>25</v>
      </c>
      <c r="G76" s="4" t="s">
        <v>25</v>
      </c>
      <c r="H76" s="4" t="s">
        <v>25</v>
      </c>
      <c r="I76" s="5">
        <v>44501</v>
      </c>
      <c r="J76" s="6">
        <v>0</v>
      </c>
      <c r="K76" s="6">
        <v>0</v>
      </c>
      <c r="L76" s="6">
        <v>0.19400000000000001</v>
      </c>
      <c r="M76" s="6">
        <v>0.19400000000000001</v>
      </c>
      <c r="N76" s="6">
        <v>0.19400000000000001</v>
      </c>
      <c r="O76" s="6">
        <v>0.19400000000000001</v>
      </c>
      <c r="P76" s="6">
        <v>1</v>
      </c>
      <c r="Q76" s="4" t="s">
        <v>26</v>
      </c>
      <c r="R76" s="4">
        <v>0</v>
      </c>
      <c r="S76" s="4" t="s">
        <v>158</v>
      </c>
      <c r="T76" s="4" t="s">
        <v>261</v>
      </c>
      <c r="U76" s="4">
        <v>0</v>
      </c>
      <c r="V76" s="4">
        <v>4</v>
      </c>
      <c r="W76" s="4">
        <v>54</v>
      </c>
    </row>
    <row r="77" spans="1:23" ht="11.25" customHeight="1" x14ac:dyDescent="0.25">
      <c r="A77" s="4" t="s">
        <v>21</v>
      </c>
      <c r="B77" s="4" t="s">
        <v>22</v>
      </c>
      <c r="C77" s="4" t="s">
        <v>23</v>
      </c>
      <c r="D77" s="4" t="s">
        <v>24</v>
      </c>
      <c r="E77" s="4" t="s">
        <v>27</v>
      </c>
      <c r="F77" s="4" t="s">
        <v>25</v>
      </c>
      <c r="G77" s="4" t="s">
        <v>25</v>
      </c>
      <c r="H77" s="4" t="s">
        <v>25</v>
      </c>
      <c r="I77" s="5">
        <v>44531</v>
      </c>
      <c r="J77" s="6">
        <v>0</v>
      </c>
      <c r="K77" s="6">
        <v>0</v>
      </c>
      <c r="L77" s="6">
        <v>0.19400000000000001</v>
      </c>
      <c r="M77" s="6">
        <v>0.19400000000000001</v>
      </c>
      <c r="N77" s="6">
        <v>0.19400000000000001</v>
      </c>
      <c r="O77" s="6">
        <v>0.19400000000000001</v>
      </c>
      <c r="P77" s="6">
        <v>1</v>
      </c>
      <c r="Q77" s="4" t="s">
        <v>26</v>
      </c>
      <c r="R77" s="4">
        <v>0</v>
      </c>
      <c r="S77" s="4" t="s">
        <v>159</v>
      </c>
      <c r="T77" s="4" t="s">
        <v>262</v>
      </c>
      <c r="U77" s="4">
        <v>0</v>
      </c>
      <c r="V77" s="4">
        <v>4</v>
      </c>
      <c r="W77" s="4">
        <v>54</v>
      </c>
    </row>
    <row r="78" spans="1:23" ht="11.25" customHeight="1" x14ac:dyDescent="0.25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27</v>
      </c>
      <c r="F78" s="4" t="s">
        <v>25</v>
      </c>
      <c r="G78" s="4" t="s">
        <v>25</v>
      </c>
      <c r="H78" s="4" t="s">
        <v>25</v>
      </c>
      <c r="I78" s="5">
        <v>44562</v>
      </c>
      <c r="J78" s="6">
        <v>0</v>
      </c>
      <c r="K78" s="6">
        <v>0</v>
      </c>
      <c r="L78" s="6">
        <v>0.19600000000000001</v>
      </c>
      <c r="M78" s="6">
        <v>0.19600000000000001</v>
      </c>
      <c r="N78" s="6">
        <v>0.19600000000000001</v>
      </c>
      <c r="O78" s="6">
        <v>0.19600000000000001</v>
      </c>
      <c r="P78" s="6">
        <v>1</v>
      </c>
      <c r="Q78" s="4" t="s">
        <v>26</v>
      </c>
      <c r="R78" s="4">
        <v>0</v>
      </c>
      <c r="S78" s="4" t="s">
        <v>160</v>
      </c>
      <c r="T78" s="4" t="s">
        <v>263</v>
      </c>
      <c r="U78" s="4">
        <v>0</v>
      </c>
      <c r="V78" s="4">
        <v>4</v>
      </c>
      <c r="W78" s="4">
        <v>54</v>
      </c>
    </row>
    <row r="79" spans="1:23" ht="11.25" customHeight="1" x14ac:dyDescent="0.25">
      <c r="A79" s="4" t="s">
        <v>21</v>
      </c>
      <c r="B79" s="4" t="s">
        <v>22</v>
      </c>
      <c r="C79" s="4" t="s">
        <v>23</v>
      </c>
      <c r="D79" s="4" t="s">
        <v>24</v>
      </c>
      <c r="E79" s="4" t="s">
        <v>27</v>
      </c>
      <c r="F79" s="4" t="s">
        <v>25</v>
      </c>
      <c r="G79" s="4" t="s">
        <v>25</v>
      </c>
      <c r="H79" s="4" t="s">
        <v>25</v>
      </c>
      <c r="I79" s="5">
        <v>44593</v>
      </c>
      <c r="J79" s="6">
        <v>0</v>
      </c>
      <c r="K79" s="6">
        <v>0</v>
      </c>
      <c r="L79" s="6">
        <v>0.33700000000000002</v>
      </c>
      <c r="M79" s="6">
        <v>0.33700000000000002</v>
      </c>
      <c r="N79" s="6">
        <v>0.33700000000000002</v>
      </c>
      <c r="O79" s="6">
        <v>0.33700000000000002</v>
      </c>
      <c r="P79" s="6">
        <v>1</v>
      </c>
      <c r="Q79" s="4" t="s">
        <v>26</v>
      </c>
      <c r="R79" s="4">
        <v>0</v>
      </c>
      <c r="S79" s="4" t="s">
        <v>161</v>
      </c>
      <c r="T79" s="4" t="s">
        <v>264</v>
      </c>
      <c r="U79" s="4">
        <v>0</v>
      </c>
      <c r="V79" s="4">
        <v>4</v>
      </c>
      <c r="W79" s="4">
        <v>54</v>
      </c>
    </row>
    <row r="80" spans="1:23" ht="11.25" customHeight="1" x14ac:dyDescent="0.25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27</v>
      </c>
      <c r="F80" s="4" t="s">
        <v>25</v>
      </c>
      <c r="G80" s="4" t="s">
        <v>25</v>
      </c>
      <c r="H80" s="4" t="s">
        <v>25</v>
      </c>
      <c r="I80" s="5">
        <v>44621</v>
      </c>
      <c r="J80" s="6">
        <v>0</v>
      </c>
      <c r="K80" s="6">
        <v>0</v>
      </c>
      <c r="L80" s="6">
        <v>0.33</v>
      </c>
      <c r="M80" s="6">
        <v>0.33</v>
      </c>
      <c r="N80" s="6">
        <v>0.33</v>
      </c>
      <c r="O80" s="6">
        <v>0.33</v>
      </c>
      <c r="P80" s="6">
        <v>1</v>
      </c>
      <c r="Q80" s="4" t="s">
        <v>26</v>
      </c>
      <c r="R80" s="4">
        <v>0</v>
      </c>
      <c r="S80" s="4" t="s">
        <v>162</v>
      </c>
      <c r="T80" s="4" t="s">
        <v>265</v>
      </c>
      <c r="U80" s="4">
        <v>0</v>
      </c>
      <c r="V80" s="4">
        <v>4</v>
      </c>
      <c r="W80" s="4">
        <v>54</v>
      </c>
    </row>
    <row r="81" spans="1:23" ht="11.25" customHeight="1" x14ac:dyDescent="0.25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27</v>
      </c>
      <c r="F81" s="4" t="s">
        <v>25</v>
      </c>
      <c r="G81" s="4" t="s">
        <v>25</v>
      </c>
      <c r="H81" s="4" t="s">
        <v>25</v>
      </c>
      <c r="I81" s="5">
        <v>44652</v>
      </c>
      <c r="J81" s="6">
        <v>0</v>
      </c>
      <c r="K81" s="6">
        <v>0</v>
      </c>
      <c r="L81" s="6">
        <v>0.33</v>
      </c>
      <c r="M81" s="6">
        <v>0.33</v>
      </c>
      <c r="N81" s="6">
        <v>0.33</v>
      </c>
      <c r="O81" s="6">
        <v>0.33</v>
      </c>
      <c r="P81" s="6">
        <v>1</v>
      </c>
      <c r="Q81" s="4" t="s">
        <v>26</v>
      </c>
      <c r="R81" s="4">
        <v>0</v>
      </c>
      <c r="S81" s="4" t="s">
        <v>163</v>
      </c>
      <c r="T81" s="4" t="s">
        <v>266</v>
      </c>
      <c r="U81" s="4">
        <v>0</v>
      </c>
      <c r="V81" s="4">
        <v>4</v>
      </c>
      <c r="W81" s="4">
        <v>54</v>
      </c>
    </row>
    <row r="82" spans="1:23" ht="11.25" customHeight="1" x14ac:dyDescent="0.25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27</v>
      </c>
      <c r="F82" s="4" t="s">
        <v>25</v>
      </c>
      <c r="G82" s="4" t="s">
        <v>25</v>
      </c>
      <c r="H82" s="4" t="s">
        <v>25</v>
      </c>
      <c r="I82" s="5">
        <v>44682</v>
      </c>
      <c r="J82" s="6">
        <v>0</v>
      </c>
      <c r="K82" s="6">
        <v>0</v>
      </c>
      <c r="L82" s="6">
        <v>0.33</v>
      </c>
      <c r="M82" s="6">
        <v>0.33</v>
      </c>
      <c r="N82" s="6">
        <v>0.33</v>
      </c>
      <c r="O82" s="6">
        <v>0.33</v>
      </c>
      <c r="P82" s="6">
        <v>1</v>
      </c>
      <c r="Q82" s="4" t="s">
        <v>26</v>
      </c>
      <c r="R82" s="4">
        <v>0</v>
      </c>
      <c r="S82" s="4" t="s">
        <v>164</v>
      </c>
      <c r="T82" s="4" t="s">
        <v>267</v>
      </c>
      <c r="U82" s="4">
        <v>0</v>
      </c>
      <c r="V82" s="4">
        <v>4</v>
      </c>
      <c r="W82" s="4">
        <v>54</v>
      </c>
    </row>
    <row r="83" spans="1:23" ht="11.25" customHeight="1" x14ac:dyDescent="0.25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27</v>
      </c>
      <c r="F83" s="4" t="s">
        <v>25</v>
      </c>
      <c r="G83" s="4" t="s">
        <v>25</v>
      </c>
      <c r="H83" s="4" t="s">
        <v>25</v>
      </c>
      <c r="I83" s="5">
        <v>44713</v>
      </c>
      <c r="J83" s="6">
        <v>0</v>
      </c>
      <c r="K83" s="6">
        <v>0</v>
      </c>
      <c r="L83" s="6">
        <v>0.33</v>
      </c>
      <c r="M83" s="6">
        <v>0.33</v>
      </c>
      <c r="N83" s="6">
        <v>0.33</v>
      </c>
      <c r="O83" s="6">
        <v>0.33</v>
      </c>
      <c r="P83" s="6">
        <v>1</v>
      </c>
      <c r="Q83" s="4" t="s">
        <v>26</v>
      </c>
      <c r="R83" s="4">
        <v>0</v>
      </c>
      <c r="S83" s="4" t="s">
        <v>165</v>
      </c>
      <c r="T83" s="4" t="s">
        <v>268</v>
      </c>
      <c r="U83" s="4">
        <v>0</v>
      </c>
      <c r="V83" s="4">
        <v>4</v>
      </c>
      <c r="W83" s="4">
        <v>54</v>
      </c>
    </row>
    <row r="84" spans="1:23" ht="11.25" customHeight="1" x14ac:dyDescent="0.25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27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0.33</v>
      </c>
      <c r="M84" s="6">
        <v>0.33</v>
      </c>
      <c r="N84" s="6">
        <v>0.33</v>
      </c>
      <c r="O84" s="6">
        <v>0.33</v>
      </c>
      <c r="P84" s="6">
        <v>1</v>
      </c>
      <c r="Q84" s="4" t="s">
        <v>26</v>
      </c>
      <c r="R84" s="4">
        <v>0</v>
      </c>
      <c r="S84" s="4" t="s">
        <v>166</v>
      </c>
      <c r="T84" s="4" t="s">
        <v>269</v>
      </c>
      <c r="U84" s="4">
        <v>0</v>
      </c>
      <c r="V84" s="4">
        <v>4</v>
      </c>
      <c r="W84" s="4">
        <v>54</v>
      </c>
    </row>
    <row r="85" spans="1:23" ht="11.25" customHeight="1" x14ac:dyDescent="0.25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27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0.185</v>
      </c>
      <c r="M85" s="6">
        <v>0.185</v>
      </c>
      <c r="N85" s="6">
        <v>0.185</v>
      </c>
      <c r="O85" s="6">
        <v>0.185</v>
      </c>
      <c r="P85" s="6">
        <v>1</v>
      </c>
      <c r="Q85" s="4" t="s">
        <v>26</v>
      </c>
      <c r="R85" s="4">
        <v>0</v>
      </c>
      <c r="S85" s="4" t="s">
        <v>167</v>
      </c>
      <c r="T85" s="4" t="s">
        <v>270</v>
      </c>
      <c r="U85" s="4">
        <v>0</v>
      </c>
      <c r="V85" s="4">
        <v>4</v>
      </c>
      <c r="W85" s="4">
        <v>54</v>
      </c>
    </row>
    <row r="86" spans="1:23" ht="11.25" customHeight="1" x14ac:dyDescent="0.25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28</v>
      </c>
      <c r="F86" s="4" t="s">
        <v>25</v>
      </c>
      <c r="G86" s="4" t="s">
        <v>25</v>
      </c>
      <c r="H86" s="4" t="s">
        <v>25</v>
      </c>
      <c r="I86" s="5">
        <v>44440</v>
      </c>
      <c r="J86" s="6">
        <v>0</v>
      </c>
      <c r="K86" s="6">
        <v>0</v>
      </c>
      <c r="L86" s="6">
        <v>8.5999999999999993E-2</v>
      </c>
      <c r="M86" s="6">
        <v>8.5999999999999993E-2</v>
      </c>
      <c r="N86" s="6">
        <v>8.5999999999999993E-2</v>
      </c>
      <c r="O86" s="6">
        <v>8.5999999999999993E-2</v>
      </c>
      <c r="P86" s="6">
        <v>1</v>
      </c>
      <c r="Q86" s="4" t="s">
        <v>26</v>
      </c>
      <c r="R86" s="4">
        <v>0</v>
      </c>
      <c r="S86" s="4" t="s">
        <v>168</v>
      </c>
      <c r="T86" s="4" t="s">
        <v>271</v>
      </c>
      <c r="U86" s="4">
        <v>0</v>
      </c>
      <c r="V86" s="4">
        <v>26</v>
      </c>
      <c r="W86" s="4">
        <v>64</v>
      </c>
    </row>
    <row r="87" spans="1:23" ht="11.25" customHeight="1" x14ac:dyDescent="0.25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28</v>
      </c>
      <c r="F87" s="4" t="s">
        <v>25</v>
      </c>
      <c r="G87" s="4" t="s">
        <v>25</v>
      </c>
      <c r="H87" s="4" t="s">
        <v>25</v>
      </c>
      <c r="I87" s="5">
        <v>44470</v>
      </c>
      <c r="J87" s="6">
        <v>0</v>
      </c>
      <c r="K87" s="6">
        <v>0</v>
      </c>
      <c r="L87" s="6">
        <v>0.44600000000000001</v>
      </c>
      <c r="M87" s="6">
        <v>0.44600000000000001</v>
      </c>
      <c r="N87" s="6">
        <v>0.44600000000000001</v>
      </c>
      <c r="O87" s="6">
        <v>0.44600000000000001</v>
      </c>
      <c r="P87" s="6">
        <v>1</v>
      </c>
      <c r="Q87" s="4" t="s">
        <v>26</v>
      </c>
      <c r="R87" s="4">
        <v>0</v>
      </c>
      <c r="S87" s="4" t="s">
        <v>169</v>
      </c>
      <c r="T87" s="4" t="s">
        <v>272</v>
      </c>
      <c r="U87" s="4">
        <v>0</v>
      </c>
      <c r="V87" s="4">
        <v>26</v>
      </c>
      <c r="W87" s="4">
        <v>64</v>
      </c>
    </row>
    <row r="88" spans="1:23" ht="11.25" customHeight="1" x14ac:dyDescent="0.25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28</v>
      </c>
      <c r="F88" s="4" t="s">
        <v>25</v>
      </c>
      <c r="G88" s="4" t="s">
        <v>25</v>
      </c>
      <c r="H88" s="4" t="s">
        <v>25</v>
      </c>
      <c r="I88" s="5">
        <v>44501</v>
      </c>
      <c r="J88" s="6">
        <v>0</v>
      </c>
      <c r="K88" s="6">
        <v>0</v>
      </c>
      <c r="L88" s="6">
        <v>0.36399999999999999</v>
      </c>
      <c r="M88" s="6">
        <v>0.36399999999999999</v>
      </c>
      <c r="N88" s="6">
        <v>0.36399999999999999</v>
      </c>
      <c r="O88" s="6">
        <v>0.36399999999999999</v>
      </c>
      <c r="P88" s="6">
        <v>1</v>
      </c>
      <c r="Q88" s="4" t="s">
        <v>26</v>
      </c>
      <c r="R88" s="4">
        <v>0</v>
      </c>
      <c r="S88" s="4" t="s">
        <v>170</v>
      </c>
      <c r="T88" s="4" t="s">
        <v>273</v>
      </c>
      <c r="U88" s="4">
        <v>0</v>
      </c>
      <c r="V88" s="4">
        <v>26</v>
      </c>
      <c r="W88" s="4">
        <v>64</v>
      </c>
    </row>
    <row r="89" spans="1:23" ht="11.25" customHeight="1" x14ac:dyDescent="0.25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28</v>
      </c>
      <c r="F89" s="4" t="s">
        <v>25</v>
      </c>
      <c r="G89" s="4" t="s">
        <v>25</v>
      </c>
      <c r="H89" s="4" t="s">
        <v>25</v>
      </c>
      <c r="I89" s="5">
        <v>44531</v>
      </c>
      <c r="J89" s="6">
        <v>0</v>
      </c>
      <c r="K89" s="6">
        <v>0</v>
      </c>
      <c r="L89" s="6">
        <v>0.32400000000000001</v>
      </c>
      <c r="M89" s="6">
        <v>0.32400000000000001</v>
      </c>
      <c r="N89" s="6">
        <v>0.32400000000000001</v>
      </c>
      <c r="O89" s="6">
        <v>0.32400000000000001</v>
      </c>
      <c r="P89" s="6">
        <v>1</v>
      </c>
      <c r="Q89" s="4" t="s">
        <v>26</v>
      </c>
      <c r="R89" s="4">
        <v>0</v>
      </c>
      <c r="S89" s="4" t="s">
        <v>171</v>
      </c>
      <c r="T89" s="4" t="s">
        <v>274</v>
      </c>
      <c r="U89" s="4">
        <v>0</v>
      </c>
      <c r="V89" s="4">
        <v>26</v>
      </c>
      <c r="W89" s="4">
        <v>64</v>
      </c>
    </row>
    <row r="90" spans="1:23" ht="11.25" customHeight="1" x14ac:dyDescent="0.25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28</v>
      </c>
      <c r="F90" s="4" t="s">
        <v>25</v>
      </c>
      <c r="G90" s="4" t="s">
        <v>25</v>
      </c>
      <c r="H90" s="4" t="s">
        <v>25</v>
      </c>
      <c r="I90" s="5">
        <v>44562</v>
      </c>
      <c r="J90" s="6">
        <v>0</v>
      </c>
      <c r="K90" s="6">
        <v>0</v>
      </c>
      <c r="L90" s="6">
        <v>0.49199999999999999</v>
      </c>
      <c r="M90" s="6">
        <v>0.49199999999999999</v>
      </c>
      <c r="N90" s="6">
        <v>0.49199999999999999</v>
      </c>
      <c r="O90" s="6">
        <v>0.49199999999999999</v>
      </c>
      <c r="P90" s="6">
        <v>1</v>
      </c>
      <c r="Q90" s="4" t="s">
        <v>26</v>
      </c>
      <c r="R90" s="4">
        <v>0</v>
      </c>
      <c r="S90" s="4" t="s">
        <v>172</v>
      </c>
      <c r="T90" s="4" t="s">
        <v>275</v>
      </c>
      <c r="U90" s="4">
        <v>0</v>
      </c>
      <c r="V90" s="4">
        <v>26</v>
      </c>
      <c r="W90" s="4">
        <v>64</v>
      </c>
    </row>
    <row r="91" spans="1:23" ht="11.25" customHeight="1" x14ac:dyDescent="0.25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28</v>
      </c>
      <c r="F91" s="4" t="s">
        <v>25</v>
      </c>
      <c r="G91" s="4" t="s">
        <v>25</v>
      </c>
      <c r="H91" s="4" t="s">
        <v>25</v>
      </c>
      <c r="I91" s="5">
        <v>44593</v>
      </c>
      <c r="J91" s="6">
        <v>0</v>
      </c>
      <c r="K91" s="6">
        <v>0</v>
      </c>
      <c r="L91" s="6">
        <v>0.56599999999999995</v>
      </c>
      <c r="M91" s="6">
        <v>0.56599999999999995</v>
      </c>
      <c r="N91" s="6">
        <v>0.56599999999999995</v>
      </c>
      <c r="O91" s="6">
        <v>0.56599999999999995</v>
      </c>
      <c r="P91" s="6">
        <v>2</v>
      </c>
      <c r="Q91" s="4" t="s">
        <v>26</v>
      </c>
      <c r="R91" s="4">
        <v>0</v>
      </c>
      <c r="S91" s="4" t="s">
        <v>173</v>
      </c>
      <c r="T91" s="4" t="s">
        <v>276</v>
      </c>
      <c r="U91" s="4">
        <v>0</v>
      </c>
      <c r="V91" s="4">
        <v>26</v>
      </c>
      <c r="W91" s="4">
        <v>64</v>
      </c>
    </row>
    <row r="92" spans="1:23" ht="11.25" customHeight="1" x14ac:dyDescent="0.25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28</v>
      </c>
      <c r="F92" s="4" t="s">
        <v>25</v>
      </c>
      <c r="G92" s="4" t="s">
        <v>25</v>
      </c>
      <c r="H92" s="4" t="s">
        <v>25</v>
      </c>
      <c r="I92" s="5">
        <v>44621</v>
      </c>
      <c r="J92" s="6">
        <v>0</v>
      </c>
      <c r="K92" s="6">
        <v>0</v>
      </c>
      <c r="L92" s="6">
        <v>0.503</v>
      </c>
      <c r="M92" s="6">
        <v>0.503</v>
      </c>
      <c r="N92" s="6">
        <v>0.503</v>
      </c>
      <c r="O92" s="6">
        <v>0.503</v>
      </c>
      <c r="P92" s="6">
        <v>2</v>
      </c>
      <c r="Q92" s="4" t="s">
        <v>26</v>
      </c>
      <c r="R92" s="4">
        <v>0</v>
      </c>
      <c r="S92" s="4" t="s">
        <v>174</v>
      </c>
      <c r="T92" s="4" t="s">
        <v>277</v>
      </c>
      <c r="U92" s="4">
        <v>0</v>
      </c>
      <c r="V92" s="4">
        <v>26</v>
      </c>
      <c r="W92" s="4">
        <v>64</v>
      </c>
    </row>
    <row r="93" spans="1:23" ht="11.25" customHeight="1" x14ac:dyDescent="0.25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28</v>
      </c>
      <c r="F93" s="4" t="s">
        <v>25</v>
      </c>
      <c r="G93" s="4" t="s">
        <v>25</v>
      </c>
      <c r="H93" s="4" t="s">
        <v>25</v>
      </c>
      <c r="I93" s="5">
        <v>44652</v>
      </c>
      <c r="J93" s="6">
        <v>0</v>
      </c>
      <c r="K93" s="6">
        <v>0</v>
      </c>
      <c r="L93" s="6">
        <v>0.56599999999999995</v>
      </c>
      <c r="M93" s="6">
        <v>0.56599999999999995</v>
      </c>
      <c r="N93" s="6">
        <v>0.56599999999999995</v>
      </c>
      <c r="O93" s="6">
        <v>0.56599999999999995</v>
      </c>
      <c r="P93" s="6">
        <v>2</v>
      </c>
      <c r="Q93" s="4" t="s">
        <v>26</v>
      </c>
      <c r="R93" s="4">
        <v>0</v>
      </c>
      <c r="S93" s="4" t="s">
        <v>175</v>
      </c>
      <c r="T93" s="4" t="s">
        <v>278</v>
      </c>
      <c r="U93" s="4">
        <v>0</v>
      </c>
      <c r="V93" s="4">
        <v>26</v>
      </c>
      <c r="W93" s="4">
        <v>64</v>
      </c>
    </row>
    <row r="94" spans="1:2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28</v>
      </c>
      <c r="F94" s="4" t="s">
        <v>25</v>
      </c>
      <c r="G94" s="4" t="s">
        <v>25</v>
      </c>
      <c r="H94" s="4" t="s">
        <v>25</v>
      </c>
      <c r="I94" s="5">
        <v>44682</v>
      </c>
      <c r="J94" s="6">
        <v>0</v>
      </c>
      <c r="K94" s="6">
        <v>0</v>
      </c>
      <c r="L94" s="6">
        <v>0.38900000000000001</v>
      </c>
      <c r="M94" s="6">
        <v>0.38900000000000001</v>
      </c>
      <c r="N94" s="6">
        <v>0.38900000000000001</v>
      </c>
      <c r="O94" s="6">
        <v>0.38900000000000001</v>
      </c>
      <c r="P94" s="6">
        <v>2</v>
      </c>
      <c r="Q94" s="4" t="s">
        <v>26</v>
      </c>
      <c r="R94" s="4">
        <v>0</v>
      </c>
      <c r="S94" s="4" t="s">
        <v>176</v>
      </c>
      <c r="T94" s="4" t="s">
        <v>279</v>
      </c>
      <c r="U94" s="4">
        <v>0</v>
      </c>
      <c r="V94" s="4">
        <v>26</v>
      </c>
      <c r="W94" s="4">
        <v>64</v>
      </c>
    </row>
    <row r="95" spans="1:23" ht="11.25" customHeight="1" x14ac:dyDescent="0.25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28</v>
      </c>
      <c r="F95" s="4" t="s">
        <v>25</v>
      </c>
      <c r="G95" s="4" t="s">
        <v>25</v>
      </c>
      <c r="H95" s="4" t="s">
        <v>25</v>
      </c>
      <c r="I95" s="5">
        <v>44713</v>
      </c>
      <c r="J95" s="6">
        <v>0</v>
      </c>
      <c r="K95" s="6">
        <v>0</v>
      </c>
      <c r="L95" s="6">
        <v>0.42399999999999999</v>
      </c>
      <c r="M95" s="6">
        <v>0.42399999999999999</v>
      </c>
      <c r="N95" s="6">
        <v>0.42399999999999999</v>
      </c>
      <c r="O95" s="6">
        <v>0.42399999999999999</v>
      </c>
      <c r="P95" s="6">
        <v>2</v>
      </c>
      <c r="Q95" s="4" t="s">
        <v>26</v>
      </c>
      <c r="R95" s="4">
        <v>0</v>
      </c>
      <c r="S95" s="4" t="s">
        <v>177</v>
      </c>
      <c r="T95" s="4" t="s">
        <v>280</v>
      </c>
      <c r="U95" s="4">
        <v>0</v>
      </c>
      <c r="V95" s="4">
        <v>26</v>
      </c>
      <c r="W95" s="4">
        <v>64</v>
      </c>
    </row>
    <row r="96" spans="1:23" ht="11.25" customHeight="1" x14ac:dyDescent="0.25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28</v>
      </c>
      <c r="F96" s="4" t="s">
        <v>25</v>
      </c>
      <c r="G96" s="4" t="s">
        <v>25</v>
      </c>
      <c r="H96" s="4" t="s">
        <v>25</v>
      </c>
      <c r="I96" s="5">
        <v>44743</v>
      </c>
      <c r="J96" s="6">
        <v>0</v>
      </c>
      <c r="K96" s="6">
        <v>0</v>
      </c>
      <c r="L96" s="6">
        <v>0.33300000000000002</v>
      </c>
      <c r="M96" s="6">
        <v>0.33300000000000002</v>
      </c>
      <c r="N96" s="6">
        <v>0.33300000000000002</v>
      </c>
      <c r="O96" s="6">
        <v>0.33300000000000002</v>
      </c>
      <c r="P96" s="6">
        <v>2</v>
      </c>
      <c r="Q96" s="4" t="s">
        <v>26</v>
      </c>
      <c r="R96" s="4">
        <v>0</v>
      </c>
      <c r="S96" s="4" t="s">
        <v>178</v>
      </c>
      <c r="T96" s="4" t="s">
        <v>281</v>
      </c>
      <c r="U96" s="4">
        <v>0</v>
      </c>
      <c r="V96" s="4">
        <v>26</v>
      </c>
      <c r="W96" s="4">
        <v>64</v>
      </c>
    </row>
    <row r="97" spans="1:2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28</v>
      </c>
      <c r="F97" s="4" t="s">
        <v>25</v>
      </c>
      <c r="G97" s="4" t="s">
        <v>25</v>
      </c>
      <c r="H97" s="4" t="s">
        <v>25</v>
      </c>
      <c r="I97" s="5">
        <v>44774</v>
      </c>
      <c r="J97" s="6">
        <v>0</v>
      </c>
      <c r="K97" s="6">
        <v>0</v>
      </c>
      <c r="L97" s="6">
        <v>0.31900000000000001</v>
      </c>
      <c r="M97" s="6">
        <v>0.31900000000000001</v>
      </c>
      <c r="N97" s="6">
        <v>0.31900000000000001</v>
      </c>
      <c r="O97" s="6">
        <v>0.31900000000000001</v>
      </c>
      <c r="P97" s="6">
        <v>1</v>
      </c>
      <c r="Q97" s="4" t="s">
        <v>26</v>
      </c>
      <c r="R97" s="4">
        <v>0</v>
      </c>
      <c r="S97" s="4" t="s">
        <v>179</v>
      </c>
      <c r="T97" s="4" t="s">
        <v>282</v>
      </c>
      <c r="U97" s="4">
        <v>0</v>
      </c>
      <c r="V97" s="4">
        <v>26</v>
      </c>
      <c r="W97" s="4">
        <v>64</v>
      </c>
    </row>
    <row r="98" spans="1:23" ht="11.25" customHeight="1" x14ac:dyDescent="0.25">
      <c r="A98" s="4" t="s">
        <v>21</v>
      </c>
      <c r="B98" s="4" t="s">
        <v>22</v>
      </c>
      <c r="C98" s="4" t="s">
        <v>23</v>
      </c>
      <c r="D98" s="4" t="s">
        <v>24</v>
      </c>
      <c r="E98" s="4" t="s">
        <v>29</v>
      </c>
      <c r="F98" s="4" t="s">
        <v>25</v>
      </c>
      <c r="G98" s="4" t="s">
        <v>25</v>
      </c>
      <c r="H98" s="4" t="s">
        <v>25</v>
      </c>
      <c r="I98" s="5">
        <v>44440</v>
      </c>
      <c r="J98" s="6">
        <v>0</v>
      </c>
      <c r="K98" s="6">
        <v>0</v>
      </c>
      <c r="L98" s="6">
        <v>0.12</v>
      </c>
      <c r="M98" s="6">
        <v>0.12</v>
      </c>
      <c r="N98" s="6">
        <v>0.12</v>
      </c>
      <c r="O98" s="6">
        <v>0.12</v>
      </c>
      <c r="P98" s="6">
        <v>0</v>
      </c>
      <c r="Q98" s="4" t="s">
        <v>26</v>
      </c>
      <c r="R98" s="4">
        <v>0</v>
      </c>
      <c r="S98" s="4" t="s">
        <v>180</v>
      </c>
      <c r="T98" s="4" t="s">
        <v>283</v>
      </c>
      <c r="U98" s="4">
        <v>0</v>
      </c>
      <c r="V98" s="4">
        <v>15</v>
      </c>
      <c r="W98" s="4">
        <v>75</v>
      </c>
    </row>
    <row r="99" spans="1:23" ht="11.25" customHeight="1" x14ac:dyDescent="0.25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30</v>
      </c>
      <c r="F99" s="4" t="s">
        <v>25</v>
      </c>
      <c r="G99" s="4" t="s">
        <v>25</v>
      </c>
      <c r="H99" s="4" t="s">
        <v>25</v>
      </c>
      <c r="I99" s="5">
        <v>44440</v>
      </c>
      <c r="J99" s="6">
        <v>0</v>
      </c>
      <c r="K99" s="6">
        <v>0</v>
      </c>
      <c r="L99" s="6">
        <v>0.31900000000000001</v>
      </c>
      <c r="M99" s="6">
        <v>0.31900000000000001</v>
      </c>
      <c r="N99" s="6">
        <v>0.31900000000000001</v>
      </c>
      <c r="O99" s="6">
        <v>0.31900000000000001</v>
      </c>
      <c r="P99" s="6">
        <v>1</v>
      </c>
      <c r="Q99" s="4" t="s">
        <v>26</v>
      </c>
      <c r="R99" s="4">
        <v>0</v>
      </c>
      <c r="S99" s="4" t="s">
        <v>181</v>
      </c>
      <c r="T99" s="4" t="s">
        <v>284</v>
      </c>
      <c r="U99" s="4">
        <v>0</v>
      </c>
      <c r="V99" s="4">
        <v>23</v>
      </c>
      <c r="W99" s="4">
        <v>70</v>
      </c>
    </row>
    <row r="100" spans="1:23" ht="11.25" customHeight="1" x14ac:dyDescent="0.25">
      <c r="A100" s="4" t="s">
        <v>21</v>
      </c>
      <c r="B100" s="4" t="s">
        <v>39</v>
      </c>
      <c r="C100" s="4" t="s">
        <v>23</v>
      </c>
      <c r="D100" s="4" t="s">
        <v>40</v>
      </c>
      <c r="E100" s="4" t="s">
        <v>25</v>
      </c>
      <c r="F100" s="4" t="s">
        <v>25</v>
      </c>
      <c r="G100" s="4" t="s">
        <v>25</v>
      </c>
      <c r="H100" s="4" t="s">
        <v>25</v>
      </c>
      <c r="I100" s="5">
        <v>44440</v>
      </c>
      <c r="J100" s="6">
        <v>0</v>
      </c>
      <c r="K100" s="6">
        <v>0</v>
      </c>
      <c r="L100" s="6">
        <v>54.149000000000001</v>
      </c>
      <c r="M100" s="6">
        <v>54.149000000000001</v>
      </c>
      <c r="N100" s="6">
        <v>54.149000000000001</v>
      </c>
      <c r="O100" s="6">
        <v>54.149000000000001</v>
      </c>
      <c r="P100" s="6">
        <v>161</v>
      </c>
      <c r="Q100" s="4" t="s">
        <v>26</v>
      </c>
      <c r="R100" s="4">
        <v>0</v>
      </c>
      <c r="S100" s="4" t="s">
        <v>182</v>
      </c>
      <c r="T100" s="4" t="s">
        <v>285</v>
      </c>
      <c r="U100" s="4">
        <v>0</v>
      </c>
      <c r="V100" s="4">
        <v>33</v>
      </c>
      <c r="W100" s="4">
        <v>66</v>
      </c>
    </row>
    <row r="101" spans="1:23" ht="11.25" customHeight="1" x14ac:dyDescent="0.25">
      <c r="A101" s="4" t="s">
        <v>21</v>
      </c>
      <c r="B101" s="4" t="s">
        <v>39</v>
      </c>
      <c r="C101" s="4" t="s">
        <v>23</v>
      </c>
      <c r="D101" s="4" t="s">
        <v>40</v>
      </c>
      <c r="E101" s="4" t="s">
        <v>25</v>
      </c>
      <c r="F101" s="4" t="s">
        <v>25</v>
      </c>
      <c r="G101" s="4" t="s">
        <v>25</v>
      </c>
      <c r="H101" s="4" t="s">
        <v>25</v>
      </c>
      <c r="I101" s="5">
        <v>44470</v>
      </c>
      <c r="J101" s="6">
        <v>0</v>
      </c>
      <c r="K101" s="6">
        <v>0</v>
      </c>
      <c r="L101" s="6">
        <v>53.856999999999999</v>
      </c>
      <c r="M101" s="6">
        <v>53.856999999999999</v>
      </c>
      <c r="N101" s="6">
        <v>53.856999999999999</v>
      </c>
      <c r="O101" s="6">
        <v>53.856999999999999</v>
      </c>
      <c r="P101" s="6">
        <v>161</v>
      </c>
      <c r="Q101" s="4" t="s">
        <v>26</v>
      </c>
      <c r="R101" s="4">
        <v>0</v>
      </c>
      <c r="S101" s="4" t="s">
        <v>183</v>
      </c>
      <c r="T101" s="4" t="s">
        <v>286</v>
      </c>
      <c r="U101" s="4">
        <v>0</v>
      </c>
      <c r="V101" s="4">
        <v>33</v>
      </c>
      <c r="W101" s="4">
        <v>66</v>
      </c>
    </row>
    <row r="102" spans="1:23" ht="11.25" customHeight="1" x14ac:dyDescent="0.25">
      <c r="A102" s="4" t="s">
        <v>21</v>
      </c>
      <c r="B102" s="4" t="s">
        <v>39</v>
      </c>
      <c r="C102" s="4" t="s">
        <v>23</v>
      </c>
      <c r="D102" s="4" t="s">
        <v>40</v>
      </c>
      <c r="E102" s="4" t="s">
        <v>25</v>
      </c>
      <c r="F102" s="4" t="s">
        <v>25</v>
      </c>
      <c r="G102" s="4" t="s">
        <v>25</v>
      </c>
      <c r="H102" s="4" t="s">
        <v>25</v>
      </c>
      <c r="I102" s="5">
        <v>44501</v>
      </c>
      <c r="J102" s="6">
        <v>0</v>
      </c>
      <c r="K102" s="6">
        <v>0</v>
      </c>
      <c r="L102" s="6">
        <v>54.054000000000002</v>
      </c>
      <c r="M102" s="6">
        <v>54.054000000000002</v>
      </c>
      <c r="N102" s="6">
        <v>54.054000000000002</v>
      </c>
      <c r="O102" s="6">
        <v>54.054000000000002</v>
      </c>
      <c r="P102" s="6">
        <v>170</v>
      </c>
      <c r="Q102" s="4" t="s">
        <v>26</v>
      </c>
      <c r="R102" s="4">
        <v>0</v>
      </c>
      <c r="S102" s="4" t="s">
        <v>184</v>
      </c>
      <c r="T102" s="4" t="s">
        <v>287</v>
      </c>
      <c r="U102" s="4">
        <v>0</v>
      </c>
      <c r="V102" s="4">
        <v>33</v>
      </c>
      <c r="W102" s="4">
        <v>66</v>
      </c>
    </row>
    <row r="103" spans="1:23" ht="11.25" customHeight="1" x14ac:dyDescent="0.25">
      <c r="A103" s="4" t="s">
        <v>21</v>
      </c>
      <c r="B103" s="4" t="s">
        <v>39</v>
      </c>
      <c r="C103" s="4" t="s">
        <v>23</v>
      </c>
      <c r="D103" s="4" t="s">
        <v>40</v>
      </c>
      <c r="E103" s="4" t="s">
        <v>25</v>
      </c>
      <c r="F103" s="4" t="s">
        <v>25</v>
      </c>
      <c r="G103" s="4" t="s">
        <v>25</v>
      </c>
      <c r="H103" s="4" t="s">
        <v>25</v>
      </c>
      <c r="I103" s="5">
        <v>44531</v>
      </c>
      <c r="J103" s="6">
        <v>0</v>
      </c>
      <c r="K103" s="6">
        <v>0</v>
      </c>
      <c r="L103" s="6">
        <v>55.401000000000003</v>
      </c>
      <c r="M103" s="6">
        <v>55.401000000000003</v>
      </c>
      <c r="N103" s="6">
        <v>55.401000000000003</v>
      </c>
      <c r="O103" s="6">
        <v>55.401000000000003</v>
      </c>
      <c r="P103" s="6">
        <v>168</v>
      </c>
      <c r="Q103" s="4" t="s">
        <v>26</v>
      </c>
      <c r="R103" s="4">
        <v>0</v>
      </c>
      <c r="S103" s="4" t="s">
        <v>185</v>
      </c>
      <c r="T103" s="4" t="s">
        <v>288</v>
      </c>
      <c r="U103" s="4">
        <v>0</v>
      </c>
      <c r="V103" s="4">
        <v>33</v>
      </c>
      <c r="W103" s="4">
        <v>66</v>
      </c>
    </row>
    <row r="104" spans="1:23" ht="11.25" customHeight="1" x14ac:dyDescent="0.25">
      <c r="A104" s="4" t="s">
        <v>21</v>
      </c>
      <c r="B104" s="4" t="s">
        <v>39</v>
      </c>
      <c r="C104" s="4" t="s">
        <v>23</v>
      </c>
      <c r="D104" s="4" t="s">
        <v>40</v>
      </c>
      <c r="E104" s="4" t="s">
        <v>25</v>
      </c>
      <c r="F104" s="4" t="s">
        <v>25</v>
      </c>
      <c r="G104" s="4" t="s">
        <v>25</v>
      </c>
      <c r="H104" s="4" t="s">
        <v>25</v>
      </c>
      <c r="I104" s="5">
        <v>44562</v>
      </c>
      <c r="J104" s="6">
        <v>0</v>
      </c>
      <c r="K104" s="6">
        <v>0</v>
      </c>
      <c r="L104" s="6">
        <v>61.930999999999997</v>
      </c>
      <c r="M104" s="6">
        <v>61.930999999999997</v>
      </c>
      <c r="N104" s="6">
        <v>61.930999999999997</v>
      </c>
      <c r="O104" s="6">
        <v>61.930999999999997</v>
      </c>
      <c r="P104" s="6">
        <v>168</v>
      </c>
      <c r="Q104" s="4" t="s">
        <v>26</v>
      </c>
      <c r="R104" s="4">
        <v>0</v>
      </c>
      <c r="S104" s="4" t="s">
        <v>186</v>
      </c>
      <c r="T104" s="4" t="s">
        <v>289</v>
      </c>
      <c r="U104" s="4">
        <v>0</v>
      </c>
      <c r="V104" s="4">
        <v>33</v>
      </c>
      <c r="W104" s="4">
        <v>66</v>
      </c>
    </row>
    <row r="105" spans="1:23" ht="11.25" customHeight="1" x14ac:dyDescent="0.25">
      <c r="A105" s="4" t="s">
        <v>21</v>
      </c>
      <c r="B105" s="4" t="s">
        <v>39</v>
      </c>
      <c r="C105" s="4" t="s">
        <v>23</v>
      </c>
      <c r="D105" s="4" t="s">
        <v>40</v>
      </c>
      <c r="E105" s="4" t="s">
        <v>25</v>
      </c>
      <c r="F105" s="4" t="s">
        <v>25</v>
      </c>
      <c r="G105" s="4" t="s">
        <v>25</v>
      </c>
      <c r="H105" s="4" t="s">
        <v>25</v>
      </c>
      <c r="I105" s="5">
        <v>44593</v>
      </c>
      <c r="J105" s="6">
        <v>0</v>
      </c>
      <c r="K105" s="6">
        <v>0</v>
      </c>
      <c r="L105" s="6">
        <v>61.552</v>
      </c>
      <c r="M105" s="6">
        <v>61.552</v>
      </c>
      <c r="N105" s="6">
        <v>61.552</v>
      </c>
      <c r="O105" s="6">
        <v>61.552</v>
      </c>
      <c r="P105" s="6">
        <v>168</v>
      </c>
      <c r="Q105" s="4" t="s">
        <v>26</v>
      </c>
      <c r="R105" s="4">
        <v>0</v>
      </c>
      <c r="S105" s="4" t="s">
        <v>187</v>
      </c>
      <c r="T105" s="4" t="s">
        <v>290</v>
      </c>
      <c r="U105" s="4">
        <v>0</v>
      </c>
      <c r="V105" s="4">
        <v>33</v>
      </c>
      <c r="W105" s="4">
        <v>66</v>
      </c>
    </row>
    <row r="106" spans="1:23" ht="11.25" customHeight="1" x14ac:dyDescent="0.25">
      <c r="A106" s="4" t="s">
        <v>21</v>
      </c>
      <c r="B106" s="4" t="s">
        <v>39</v>
      </c>
      <c r="C106" s="4" t="s">
        <v>23</v>
      </c>
      <c r="D106" s="4" t="s">
        <v>40</v>
      </c>
      <c r="E106" s="4" t="s">
        <v>25</v>
      </c>
      <c r="F106" s="4" t="s">
        <v>25</v>
      </c>
      <c r="G106" s="4" t="s">
        <v>25</v>
      </c>
      <c r="H106" s="4" t="s">
        <v>25</v>
      </c>
      <c r="I106" s="5">
        <v>44621</v>
      </c>
      <c r="J106" s="6">
        <v>0</v>
      </c>
      <c r="K106" s="6">
        <v>0</v>
      </c>
      <c r="L106" s="6">
        <v>56.143999999999998</v>
      </c>
      <c r="M106" s="6">
        <v>56.143999999999998</v>
      </c>
      <c r="N106" s="6">
        <v>56.143999999999998</v>
      </c>
      <c r="O106" s="6">
        <v>56.143999999999998</v>
      </c>
      <c r="P106" s="6">
        <v>159</v>
      </c>
      <c r="Q106" s="4" t="s">
        <v>26</v>
      </c>
      <c r="R106" s="4">
        <v>0</v>
      </c>
      <c r="S106" s="4" t="s">
        <v>188</v>
      </c>
      <c r="T106" s="4" t="s">
        <v>291</v>
      </c>
      <c r="U106" s="4">
        <v>0</v>
      </c>
      <c r="V106" s="4">
        <v>33</v>
      </c>
      <c r="W106" s="4">
        <v>66</v>
      </c>
    </row>
    <row r="107" spans="1:23" ht="11.25" customHeight="1" x14ac:dyDescent="0.25">
      <c r="A107" s="4" t="s">
        <v>21</v>
      </c>
      <c r="B107" s="4" t="s">
        <v>39</v>
      </c>
      <c r="C107" s="4" t="s">
        <v>23</v>
      </c>
      <c r="D107" s="4" t="s">
        <v>40</v>
      </c>
      <c r="E107" s="4" t="s">
        <v>25</v>
      </c>
      <c r="F107" s="4" t="s">
        <v>25</v>
      </c>
      <c r="G107" s="4" t="s">
        <v>25</v>
      </c>
      <c r="H107" s="4" t="s">
        <v>25</v>
      </c>
      <c r="I107" s="5">
        <v>44652</v>
      </c>
      <c r="J107" s="6">
        <v>0</v>
      </c>
      <c r="K107" s="6">
        <v>0</v>
      </c>
      <c r="L107" s="6">
        <v>58.720999999999997</v>
      </c>
      <c r="M107" s="6">
        <v>58.720999999999997</v>
      </c>
      <c r="N107" s="6">
        <v>58.720999999999997</v>
      </c>
      <c r="O107" s="6">
        <v>58.720999999999997</v>
      </c>
      <c r="P107" s="6">
        <v>159</v>
      </c>
      <c r="Q107" s="4" t="s">
        <v>26</v>
      </c>
      <c r="R107" s="4">
        <v>0</v>
      </c>
      <c r="S107" s="4" t="s">
        <v>189</v>
      </c>
      <c r="T107" s="4" t="s">
        <v>292</v>
      </c>
      <c r="U107" s="4">
        <v>0</v>
      </c>
      <c r="V107" s="4">
        <v>33</v>
      </c>
      <c r="W107" s="4">
        <v>66</v>
      </c>
    </row>
    <row r="108" spans="1:23" ht="11.25" customHeight="1" x14ac:dyDescent="0.25">
      <c r="A108" s="4" t="s">
        <v>21</v>
      </c>
      <c r="B108" s="4" t="s">
        <v>39</v>
      </c>
      <c r="C108" s="4" t="s">
        <v>23</v>
      </c>
      <c r="D108" s="4" t="s">
        <v>40</v>
      </c>
      <c r="E108" s="4" t="s">
        <v>25</v>
      </c>
      <c r="F108" s="4" t="s">
        <v>25</v>
      </c>
      <c r="G108" s="4" t="s">
        <v>25</v>
      </c>
      <c r="H108" s="4" t="s">
        <v>25</v>
      </c>
      <c r="I108" s="5">
        <v>44682</v>
      </c>
      <c r="J108" s="6">
        <v>0</v>
      </c>
      <c r="K108" s="6">
        <v>0</v>
      </c>
      <c r="L108" s="6">
        <v>51.926000000000002</v>
      </c>
      <c r="M108" s="6">
        <v>51.926000000000002</v>
      </c>
      <c r="N108" s="6">
        <v>51.926000000000002</v>
      </c>
      <c r="O108" s="6">
        <v>51.926000000000002</v>
      </c>
      <c r="P108" s="6">
        <v>159</v>
      </c>
      <c r="Q108" s="4" t="s">
        <v>26</v>
      </c>
      <c r="R108" s="4">
        <v>0</v>
      </c>
      <c r="S108" s="4" t="s">
        <v>190</v>
      </c>
      <c r="T108" s="4" t="s">
        <v>293</v>
      </c>
      <c r="U108" s="4">
        <v>0</v>
      </c>
      <c r="V108" s="4">
        <v>33</v>
      </c>
      <c r="W108" s="4">
        <v>66</v>
      </c>
    </row>
    <row r="109" spans="1:23" ht="11.25" customHeight="1" x14ac:dyDescent="0.25">
      <c r="A109" s="4" t="s">
        <v>21</v>
      </c>
      <c r="B109" s="4" t="s">
        <v>39</v>
      </c>
      <c r="C109" s="4" t="s">
        <v>23</v>
      </c>
      <c r="D109" s="4" t="s">
        <v>40</v>
      </c>
      <c r="E109" s="4" t="s">
        <v>25</v>
      </c>
      <c r="F109" s="4" t="s">
        <v>25</v>
      </c>
      <c r="G109" s="4" t="s">
        <v>25</v>
      </c>
      <c r="H109" s="4" t="s">
        <v>25</v>
      </c>
      <c r="I109" s="5">
        <v>44713</v>
      </c>
      <c r="J109" s="6">
        <v>0</v>
      </c>
      <c r="K109" s="6">
        <v>0</v>
      </c>
      <c r="L109" s="6">
        <v>54.735999999999997</v>
      </c>
      <c r="M109" s="6">
        <v>54.735999999999997</v>
      </c>
      <c r="N109" s="6">
        <v>54.735999999999997</v>
      </c>
      <c r="O109" s="6">
        <v>54.735999999999997</v>
      </c>
      <c r="P109" s="6">
        <v>158</v>
      </c>
      <c r="Q109" s="4" t="s">
        <v>26</v>
      </c>
      <c r="R109" s="4">
        <v>0</v>
      </c>
      <c r="S109" s="4" t="s">
        <v>191</v>
      </c>
      <c r="T109" s="4" t="s">
        <v>294</v>
      </c>
      <c r="U109" s="4">
        <v>0</v>
      </c>
      <c r="V109" s="4">
        <v>33</v>
      </c>
      <c r="W109" s="4">
        <v>66</v>
      </c>
    </row>
    <row r="110" spans="1:23" ht="11.25" customHeight="1" x14ac:dyDescent="0.25">
      <c r="A110" s="4" t="s">
        <v>21</v>
      </c>
      <c r="B110" s="4" t="s">
        <v>39</v>
      </c>
      <c r="C110" s="4" t="s">
        <v>23</v>
      </c>
      <c r="D110" s="4" t="s">
        <v>40</v>
      </c>
      <c r="E110" s="4" t="s">
        <v>25</v>
      </c>
      <c r="F110" s="4" t="s">
        <v>25</v>
      </c>
      <c r="G110" s="4" t="s">
        <v>25</v>
      </c>
      <c r="H110" s="4" t="s">
        <v>25</v>
      </c>
      <c r="I110" s="5">
        <v>44743</v>
      </c>
      <c r="J110" s="6">
        <v>0</v>
      </c>
      <c r="K110" s="6">
        <v>0</v>
      </c>
      <c r="L110" s="6">
        <v>53.656999999999996</v>
      </c>
      <c r="M110" s="6">
        <v>53.656999999999996</v>
      </c>
      <c r="N110" s="6">
        <v>53.656999999999996</v>
      </c>
      <c r="O110" s="6">
        <v>53.656999999999996</v>
      </c>
      <c r="P110" s="6">
        <v>158</v>
      </c>
      <c r="Q110" s="4" t="s">
        <v>26</v>
      </c>
      <c r="R110" s="4">
        <v>0</v>
      </c>
      <c r="S110" s="4" t="s">
        <v>192</v>
      </c>
      <c r="T110" s="4" t="s">
        <v>295</v>
      </c>
      <c r="U110" s="4">
        <v>0</v>
      </c>
      <c r="V110" s="4">
        <v>33</v>
      </c>
      <c r="W110" s="4">
        <v>66</v>
      </c>
    </row>
    <row r="111" spans="1:23" ht="11.25" customHeight="1" x14ac:dyDescent="0.25">
      <c r="A111" s="4" t="s">
        <v>21</v>
      </c>
      <c r="B111" s="4" t="s">
        <v>39</v>
      </c>
      <c r="C111" s="4" t="s">
        <v>23</v>
      </c>
      <c r="D111" s="4" t="s">
        <v>40</v>
      </c>
      <c r="E111" s="4" t="s">
        <v>25</v>
      </c>
      <c r="F111" s="4" t="s">
        <v>25</v>
      </c>
      <c r="G111" s="4" t="s">
        <v>25</v>
      </c>
      <c r="H111" s="4" t="s">
        <v>25</v>
      </c>
      <c r="I111" s="5">
        <v>44774</v>
      </c>
      <c r="J111" s="6">
        <v>0</v>
      </c>
      <c r="K111" s="6">
        <v>0</v>
      </c>
      <c r="L111" s="6">
        <v>52.451999999999998</v>
      </c>
      <c r="M111" s="6">
        <v>52.451999999999998</v>
      </c>
      <c r="N111" s="6">
        <v>52.451999999999998</v>
      </c>
      <c r="O111" s="6">
        <v>52.451999999999998</v>
      </c>
      <c r="P111" s="6">
        <v>158</v>
      </c>
      <c r="Q111" s="4" t="s">
        <v>26</v>
      </c>
      <c r="R111" s="4">
        <v>0</v>
      </c>
      <c r="S111" s="4" t="s">
        <v>193</v>
      </c>
      <c r="T111" s="4" t="s">
        <v>296</v>
      </c>
      <c r="U111" s="4">
        <v>0</v>
      </c>
      <c r="V111" s="4">
        <v>33</v>
      </c>
      <c r="W111" s="4">
        <v>66</v>
      </c>
    </row>
    <row r="112" spans="1:23" ht="11.25" customHeight="1" x14ac:dyDescent="0.25">
      <c r="A112" s="4" t="s">
        <v>21</v>
      </c>
      <c r="B112" s="4" t="s">
        <v>31</v>
      </c>
      <c r="C112" s="4" t="s">
        <v>23</v>
      </c>
      <c r="D112" s="4" t="s">
        <v>38</v>
      </c>
      <c r="E112" s="4" t="s">
        <v>25</v>
      </c>
      <c r="F112" s="4" t="s">
        <v>25</v>
      </c>
      <c r="G112" s="4" t="s">
        <v>25</v>
      </c>
      <c r="H112" s="4" t="s">
        <v>25</v>
      </c>
      <c r="I112" s="5">
        <v>44440</v>
      </c>
      <c r="J112" s="6">
        <v>0</v>
      </c>
      <c r="K112" s="6">
        <v>0</v>
      </c>
      <c r="L112" s="6">
        <v>20.841000000000001</v>
      </c>
      <c r="M112" s="6">
        <v>20.841000000000001</v>
      </c>
      <c r="N112" s="6">
        <v>20.841000000000001</v>
      </c>
      <c r="O112" s="6">
        <v>20.841000000000001</v>
      </c>
      <c r="P112" s="6">
        <v>52</v>
      </c>
      <c r="Q112" s="4" t="s">
        <v>26</v>
      </c>
      <c r="R112" s="4">
        <v>0</v>
      </c>
      <c r="S112" s="4" t="s">
        <v>194</v>
      </c>
      <c r="T112" s="4" t="s">
        <v>297</v>
      </c>
      <c r="U112" s="4">
        <v>0</v>
      </c>
      <c r="V112" s="4">
        <v>39</v>
      </c>
      <c r="W112" s="4">
        <v>80</v>
      </c>
    </row>
    <row r="113" spans="1:23" ht="11.25" customHeight="1" x14ac:dyDescent="0.25">
      <c r="A113" s="4" t="s">
        <v>21</v>
      </c>
      <c r="B113" s="4" t="s">
        <v>31</v>
      </c>
      <c r="C113" s="4" t="s">
        <v>23</v>
      </c>
      <c r="D113" s="4" t="s">
        <v>38</v>
      </c>
      <c r="E113" s="4" t="s">
        <v>25</v>
      </c>
      <c r="F113" s="4" t="s">
        <v>25</v>
      </c>
      <c r="G113" s="4" t="s">
        <v>25</v>
      </c>
      <c r="H113" s="4" t="s">
        <v>25</v>
      </c>
      <c r="I113" s="5">
        <v>44470</v>
      </c>
      <c r="J113" s="6">
        <v>0</v>
      </c>
      <c r="K113" s="6">
        <v>0</v>
      </c>
      <c r="L113" s="6">
        <v>22.224</v>
      </c>
      <c r="M113" s="6">
        <v>22.224</v>
      </c>
      <c r="N113" s="6">
        <v>22.224</v>
      </c>
      <c r="O113" s="6">
        <v>22.224</v>
      </c>
      <c r="P113" s="6">
        <v>52</v>
      </c>
      <c r="Q113" s="4" t="s">
        <v>26</v>
      </c>
      <c r="R113" s="4">
        <v>0</v>
      </c>
      <c r="S113" s="4" t="s">
        <v>195</v>
      </c>
      <c r="T113" s="4" t="s">
        <v>298</v>
      </c>
      <c r="U113" s="4">
        <v>0</v>
      </c>
      <c r="V113" s="4">
        <v>39</v>
      </c>
      <c r="W113" s="4">
        <v>80</v>
      </c>
    </row>
    <row r="114" spans="1:23" ht="11.25" customHeight="1" x14ac:dyDescent="0.25">
      <c r="A114" s="4" t="s">
        <v>21</v>
      </c>
      <c r="B114" s="4" t="s">
        <v>31</v>
      </c>
      <c r="C114" s="4" t="s">
        <v>23</v>
      </c>
      <c r="D114" s="4" t="s">
        <v>38</v>
      </c>
      <c r="E114" s="4" t="s">
        <v>25</v>
      </c>
      <c r="F114" s="4" t="s">
        <v>25</v>
      </c>
      <c r="G114" s="4" t="s">
        <v>25</v>
      </c>
      <c r="H114" s="4" t="s">
        <v>25</v>
      </c>
      <c r="I114" s="5">
        <v>44501</v>
      </c>
      <c r="J114" s="6">
        <v>0</v>
      </c>
      <c r="K114" s="6">
        <v>0</v>
      </c>
      <c r="L114" s="6">
        <v>21.158000000000001</v>
      </c>
      <c r="M114" s="6">
        <v>21.158000000000001</v>
      </c>
      <c r="N114" s="6">
        <v>21.158000000000001</v>
      </c>
      <c r="O114" s="6">
        <v>21.158000000000001</v>
      </c>
      <c r="P114" s="6">
        <v>52</v>
      </c>
      <c r="Q114" s="4" t="s">
        <v>26</v>
      </c>
      <c r="R114" s="4">
        <v>0</v>
      </c>
      <c r="S114" s="4" t="s">
        <v>196</v>
      </c>
      <c r="T114" s="4" t="s">
        <v>299</v>
      </c>
      <c r="U114" s="4">
        <v>0</v>
      </c>
      <c r="V114" s="4">
        <v>39</v>
      </c>
      <c r="W114" s="4">
        <v>80</v>
      </c>
    </row>
    <row r="115" spans="1:23" ht="11.25" customHeight="1" x14ac:dyDescent="0.25">
      <c r="A115" s="4" t="s">
        <v>21</v>
      </c>
      <c r="B115" s="4" t="s">
        <v>31</v>
      </c>
      <c r="C115" s="4" t="s">
        <v>23</v>
      </c>
      <c r="D115" s="4" t="s">
        <v>38</v>
      </c>
      <c r="E115" s="4" t="s">
        <v>25</v>
      </c>
      <c r="F115" s="4" t="s">
        <v>25</v>
      </c>
      <c r="G115" s="4" t="s">
        <v>25</v>
      </c>
      <c r="H115" s="4" t="s">
        <v>25</v>
      </c>
      <c r="I115" s="5">
        <v>44531</v>
      </c>
      <c r="J115" s="6">
        <v>0</v>
      </c>
      <c r="K115" s="6">
        <v>0</v>
      </c>
      <c r="L115" s="6">
        <v>23.998000000000001</v>
      </c>
      <c r="M115" s="6">
        <v>23.998000000000001</v>
      </c>
      <c r="N115" s="6">
        <v>23.998000000000001</v>
      </c>
      <c r="O115" s="6">
        <v>23.998000000000001</v>
      </c>
      <c r="P115" s="6">
        <v>52</v>
      </c>
      <c r="Q115" s="4" t="s">
        <v>26</v>
      </c>
      <c r="R115" s="4">
        <v>0</v>
      </c>
      <c r="S115" s="4" t="s">
        <v>197</v>
      </c>
      <c r="T115" s="4" t="s">
        <v>300</v>
      </c>
      <c r="U115" s="4">
        <v>0</v>
      </c>
      <c r="V115" s="4">
        <v>39</v>
      </c>
      <c r="W115" s="4">
        <v>80</v>
      </c>
    </row>
    <row r="116" spans="1:23" ht="11.25" customHeight="1" x14ac:dyDescent="0.25">
      <c r="A116" s="4" t="s">
        <v>21</v>
      </c>
      <c r="B116" s="4" t="s">
        <v>31</v>
      </c>
      <c r="C116" s="4" t="s">
        <v>23</v>
      </c>
      <c r="D116" s="4" t="s">
        <v>38</v>
      </c>
      <c r="E116" s="4" t="s">
        <v>25</v>
      </c>
      <c r="F116" s="4" t="s">
        <v>25</v>
      </c>
      <c r="G116" s="4" t="s">
        <v>25</v>
      </c>
      <c r="H116" s="4" t="s">
        <v>25</v>
      </c>
      <c r="I116" s="5">
        <v>44562</v>
      </c>
      <c r="J116" s="6">
        <v>0</v>
      </c>
      <c r="K116" s="6">
        <v>0</v>
      </c>
      <c r="L116" s="6">
        <v>26.010999999999999</v>
      </c>
      <c r="M116" s="6">
        <v>26.010999999999999</v>
      </c>
      <c r="N116" s="6">
        <v>26.010999999999999</v>
      </c>
      <c r="O116" s="6">
        <v>26.010999999999999</v>
      </c>
      <c r="P116" s="6">
        <v>52</v>
      </c>
      <c r="Q116" s="4" t="s">
        <v>26</v>
      </c>
      <c r="R116" s="4">
        <v>0</v>
      </c>
      <c r="S116" s="4" t="s">
        <v>198</v>
      </c>
      <c r="T116" s="4" t="s">
        <v>301</v>
      </c>
      <c r="U116" s="4">
        <v>0</v>
      </c>
      <c r="V116" s="4">
        <v>39</v>
      </c>
      <c r="W116" s="4">
        <v>80</v>
      </c>
    </row>
    <row r="117" spans="1:23" ht="11.25" customHeight="1" x14ac:dyDescent="0.25">
      <c r="A117" s="4" t="s">
        <v>21</v>
      </c>
      <c r="B117" s="4" t="s">
        <v>31</v>
      </c>
      <c r="C117" s="4" t="s">
        <v>23</v>
      </c>
      <c r="D117" s="4" t="s">
        <v>38</v>
      </c>
      <c r="E117" s="4" t="s">
        <v>25</v>
      </c>
      <c r="F117" s="4" t="s">
        <v>25</v>
      </c>
      <c r="G117" s="4" t="s">
        <v>25</v>
      </c>
      <c r="H117" s="4" t="s">
        <v>25</v>
      </c>
      <c r="I117" s="5">
        <v>44593</v>
      </c>
      <c r="J117" s="6">
        <v>0</v>
      </c>
      <c r="K117" s="6">
        <v>0</v>
      </c>
      <c r="L117" s="6">
        <v>30.187000000000001</v>
      </c>
      <c r="M117" s="6">
        <v>30.187000000000001</v>
      </c>
      <c r="N117" s="6">
        <v>30.187000000000001</v>
      </c>
      <c r="O117" s="6">
        <v>30.187000000000001</v>
      </c>
      <c r="P117" s="6">
        <v>52</v>
      </c>
      <c r="Q117" s="4" t="s">
        <v>26</v>
      </c>
      <c r="R117" s="4">
        <v>0</v>
      </c>
      <c r="S117" s="4" t="s">
        <v>199</v>
      </c>
      <c r="T117" s="4" t="s">
        <v>302</v>
      </c>
      <c r="U117" s="4">
        <v>0</v>
      </c>
      <c r="V117" s="4">
        <v>39</v>
      </c>
      <c r="W117" s="4">
        <v>80</v>
      </c>
    </row>
    <row r="118" spans="1:23" ht="11.25" customHeight="1" x14ac:dyDescent="0.25">
      <c r="A118" s="4" t="s">
        <v>21</v>
      </c>
      <c r="B118" s="4" t="s">
        <v>31</v>
      </c>
      <c r="C118" s="4" t="s">
        <v>23</v>
      </c>
      <c r="D118" s="4" t="s">
        <v>38</v>
      </c>
      <c r="E118" s="4" t="s">
        <v>25</v>
      </c>
      <c r="F118" s="4" t="s">
        <v>25</v>
      </c>
      <c r="G118" s="4" t="s">
        <v>25</v>
      </c>
      <c r="H118" s="4" t="s">
        <v>25</v>
      </c>
      <c r="I118" s="5">
        <v>44621</v>
      </c>
      <c r="J118" s="6">
        <v>0</v>
      </c>
      <c r="K118" s="6">
        <v>0</v>
      </c>
      <c r="L118" s="6">
        <v>28.289000000000001</v>
      </c>
      <c r="M118" s="6">
        <v>28.289000000000001</v>
      </c>
      <c r="N118" s="6">
        <v>28.289000000000001</v>
      </c>
      <c r="O118" s="6">
        <v>28.289000000000001</v>
      </c>
      <c r="P118" s="6">
        <v>52</v>
      </c>
      <c r="Q118" s="4" t="s">
        <v>26</v>
      </c>
      <c r="R118" s="4">
        <v>0</v>
      </c>
      <c r="S118" s="4" t="s">
        <v>200</v>
      </c>
      <c r="T118" s="4" t="s">
        <v>303</v>
      </c>
      <c r="U118" s="4">
        <v>0</v>
      </c>
      <c r="V118" s="4">
        <v>39</v>
      </c>
      <c r="W118" s="4">
        <v>80</v>
      </c>
    </row>
    <row r="119" spans="1:23" ht="11.25" customHeight="1" x14ac:dyDescent="0.25">
      <c r="A119" s="4" t="s">
        <v>21</v>
      </c>
      <c r="B119" s="4" t="s">
        <v>31</v>
      </c>
      <c r="C119" s="4" t="s">
        <v>23</v>
      </c>
      <c r="D119" s="4" t="s">
        <v>38</v>
      </c>
      <c r="E119" s="4" t="s">
        <v>25</v>
      </c>
      <c r="F119" s="4" t="s">
        <v>25</v>
      </c>
      <c r="G119" s="4" t="s">
        <v>25</v>
      </c>
      <c r="H119" s="4" t="s">
        <v>25</v>
      </c>
      <c r="I119" s="5">
        <v>44652</v>
      </c>
      <c r="J119" s="6">
        <v>0</v>
      </c>
      <c r="K119" s="6">
        <v>0</v>
      </c>
      <c r="L119" s="6">
        <v>27.173999999999999</v>
      </c>
      <c r="M119" s="6">
        <v>27.173999999999999</v>
      </c>
      <c r="N119" s="6">
        <v>27.173999999999999</v>
      </c>
      <c r="O119" s="6">
        <v>27.173999999999999</v>
      </c>
      <c r="P119" s="6">
        <v>52</v>
      </c>
      <c r="Q119" s="4" t="s">
        <v>26</v>
      </c>
      <c r="R119" s="4">
        <v>0</v>
      </c>
      <c r="S119" s="4" t="s">
        <v>201</v>
      </c>
      <c r="T119" s="4" t="s">
        <v>304</v>
      </c>
      <c r="U119" s="4">
        <v>0</v>
      </c>
      <c r="V119" s="4">
        <v>39</v>
      </c>
      <c r="W119" s="4">
        <v>80</v>
      </c>
    </row>
    <row r="120" spans="1:23" ht="11.25" customHeight="1" x14ac:dyDescent="0.25">
      <c r="A120" s="4" t="s">
        <v>21</v>
      </c>
      <c r="B120" s="4" t="s">
        <v>31</v>
      </c>
      <c r="C120" s="4" t="s">
        <v>23</v>
      </c>
      <c r="D120" s="4" t="s">
        <v>38</v>
      </c>
      <c r="E120" s="4" t="s">
        <v>25</v>
      </c>
      <c r="F120" s="4" t="s">
        <v>25</v>
      </c>
      <c r="G120" s="4" t="s">
        <v>25</v>
      </c>
      <c r="H120" s="4" t="s">
        <v>25</v>
      </c>
      <c r="I120" s="5">
        <v>44682</v>
      </c>
      <c r="J120" s="6">
        <v>0</v>
      </c>
      <c r="K120" s="6">
        <v>0</v>
      </c>
      <c r="L120" s="6">
        <v>24.038</v>
      </c>
      <c r="M120" s="6">
        <v>24.038</v>
      </c>
      <c r="N120" s="6">
        <v>24.038</v>
      </c>
      <c r="O120" s="6">
        <v>24.038</v>
      </c>
      <c r="P120" s="6">
        <v>54</v>
      </c>
      <c r="Q120" s="4" t="s">
        <v>26</v>
      </c>
      <c r="R120" s="4">
        <v>0</v>
      </c>
      <c r="S120" s="4" t="s">
        <v>202</v>
      </c>
      <c r="T120" s="4" t="s">
        <v>305</v>
      </c>
      <c r="U120" s="4">
        <v>0</v>
      </c>
      <c r="V120" s="4">
        <v>39</v>
      </c>
      <c r="W120" s="4">
        <v>80</v>
      </c>
    </row>
    <row r="121" spans="1:23" ht="11.25" customHeight="1" x14ac:dyDescent="0.25">
      <c r="A121" s="4" t="s">
        <v>21</v>
      </c>
      <c r="B121" s="4" t="s">
        <v>31</v>
      </c>
      <c r="C121" s="4" t="s">
        <v>23</v>
      </c>
      <c r="D121" s="4" t="s">
        <v>38</v>
      </c>
      <c r="E121" s="4" t="s">
        <v>25</v>
      </c>
      <c r="F121" s="4" t="s">
        <v>25</v>
      </c>
      <c r="G121" s="4" t="s">
        <v>25</v>
      </c>
      <c r="H121" s="4" t="s">
        <v>25</v>
      </c>
      <c r="I121" s="5">
        <v>44713</v>
      </c>
      <c r="J121" s="6">
        <v>0</v>
      </c>
      <c r="K121" s="6">
        <v>0</v>
      </c>
      <c r="L121" s="6">
        <v>22.826000000000001</v>
      </c>
      <c r="M121" s="6">
        <v>22.826000000000001</v>
      </c>
      <c r="N121" s="6">
        <v>22.826000000000001</v>
      </c>
      <c r="O121" s="6">
        <v>22.826000000000001</v>
      </c>
      <c r="P121" s="6">
        <v>55</v>
      </c>
      <c r="Q121" s="4" t="s">
        <v>26</v>
      </c>
      <c r="R121" s="4">
        <v>0</v>
      </c>
      <c r="S121" s="4" t="s">
        <v>203</v>
      </c>
      <c r="T121" s="4" t="s">
        <v>306</v>
      </c>
      <c r="U121" s="4">
        <v>0</v>
      </c>
      <c r="V121" s="4">
        <v>39</v>
      </c>
      <c r="W121" s="4">
        <v>80</v>
      </c>
    </row>
    <row r="122" spans="1:23" ht="11.25" customHeight="1" x14ac:dyDescent="0.25">
      <c r="A122" s="4" t="s">
        <v>21</v>
      </c>
      <c r="B122" s="4" t="s">
        <v>31</v>
      </c>
      <c r="C122" s="4" t="s">
        <v>23</v>
      </c>
      <c r="D122" s="4" t="s">
        <v>38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44743</v>
      </c>
      <c r="J122" s="6">
        <v>0</v>
      </c>
      <c r="K122" s="6">
        <v>0</v>
      </c>
      <c r="L122" s="6">
        <v>22.486000000000001</v>
      </c>
      <c r="M122" s="6">
        <v>22.486000000000001</v>
      </c>
      <c r="N122" s="6">
        <v>22.486000000000001</v>
      </c>
      <c r="O122" s="6">
        <v>22.486000000000001</v>
      </c>
      <c r="P122" s="6">
        <v>55</v>
      </c>
      <c r="Q122" s="4" t="s">
        <v>26</v>
      </c>
      <c r="R122" s="4">
        <v>0</v>
      </c>
      <c r="S122" s="4" t="s">
        <v>204</v>
      </c>
      <c r="T122" s="4" t="s">
        <v>307</v>
      </c>
      <c r="U122" s="4">
        <v>0</v>
      </c>
      <c r="V122" s="4">
        <v>39</v>
      </c>
      <c r="W122" s="4">
        <v>80</v>
      </c>
    </row>
    <row r="123" spans="1:23" ht="11.25" customHeight="1" x14ac:dyDescent="0.25">
      <c r="A123" s="4" t="s">
        <v>21</v>
      </c>
      <c r="B123" s="4" t="s">
        <v>31</v>
      </c>
      <c r="C123" s="4" t="s">
        <v>23</v>
      </c>
      <c r="D123" s="4" t="s">
        <v>38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44774</v>
      </c>
      <c r="J123" s="6">
        <v>0</v>
      </c>
      <c r="K123" s="6">
        <v>0</v>
      </c>
      <c r="L123" s="6">
        <v>24.277999999999999</v>
      </c>
      <c r="M123" s="6">
        <v>24.277999999999999</v>
      </c>
      <c r="N123" s="6">
        <v>24.277999999999999</v>
      </c>
      <c r="O123" s="6">
        <v>24.277999999999999</v>
      </c>
      <c r="P123" s="6">
        <v>55</v>
      </c>
      <c r="Q123" s="4" t="s">
        <v>26</v>
      </c>
      <c r="R123" s="4">
        <v>0</v>
      </c>
      <c r="S123" s="4" t="s">
        <v>205</v>
      </c>
      <c r="T123" s="4" t="s">
        <v>308</v>
      </c>
      <c r="U123" s="4">
        <v>0</v>
      </c>
      <c r="V123" s="4">
        <v>39</v>
      </c>
      <c r="W123" s="4">
        <v>80</v>
      </c>
    </row>
    <row r="124" spans="1:23" ht="11.25" customHeight="1" x14ac:dyDescent="0.25">
      <c r="A124" s="4" t="s">
        <v>21</v>
      </c>
      <c r="B124" s="4" t="s">
        <v>31</v>
      </c>
      <c r="C124" s="4" t="s">
        <v>23</v>
      </c>
      <c r="D124" s="4" t="s">
        <v>32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44440</v>
      </c>
      <c r="J124" s="6">
        <v>0</v>
      </c>
      <c r="K124" s="6">
        <v>0</v>
      </c>
      <c r="L124" s="6">
        <v>92.442999999999998</v>
      </c>
      <c r="M124" s="6">
        <v>92.442999999999998</v>
      </c>
      <c r="N124" s="6">
        <v>92.442999999999998</v>
      </c>
      <c r="O124" s="6">
        <v>92.442999999999998</v>
      </c>
      <c r="P124" s="6">
        <v>33</v>
      </c>
      <c r="Q124" s="4" t="s">
        <v>26</v>
      </c>
      <c r="R124" s="4">
        <v>0</v>
      </c>
      <c r="S124" s="4" t="s">
        <v>194</v>
      </c>
      <c r="T124" s="4" t="s">
        <v>297</v>
      </c>
      <c r="U124" s="4">
        <v>0</v>
      </c>
      <c r="V124" s="4">
        <v>39</v>
      </c>
      <c r="W124" s="4">
        <v>80</v>
      </c>
    </row>
    <row r="125" spans="1:23" ht="11.25" customHeight="1" x14ac:dyDescent="0.25">
      <c r="A125" s="4" t="s">
        <v>21</v>
      </c>
      <c r="B125" s="4" t="s">
        <v>31</v>
      </c>
      <c r="C125" s="4" t="s">
        <v>23</v>
      </c>
      <c r="D125" s="4" t="s">
        <v>32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44470</v>
      </c>
      <c r="J125" s="6">
        <v>0</v>
      </c>
      <c r="K125" s="6">
        <v>0</v>
      </c>
      <c r="L125" s="6">
        <v>91.703999999999994</v>
      </c>
      <c r="M125" s="6">
        <v>91.703999999999994</v>
      </c>
      <c r="N125" s="6">
        <v>91.703999999999994</v>
      </c>
      <c r="O125" s="6">
        <v>91.703999999999994</v>
      </c>
      <c r="P125" s="6">
        <v>34</v>
      </c>
      <c r="Q125" s="4" t="s">
        <v>26</v>
      </c>
      <c r="R125" s="4">
        <v>0</v>
      </c>
      <c r="S125" s="4" t="s">
        <v>195</v>
      </c>
      <c r="T125" s="4" t="s">
        <v>298</v>
      </c>
      <c r="U125" s="4">
        <v>0</v>
      </c>
      <c r="V125" s="4">
        <v>39</v>
      </c>
      <c r="W125" s="4">
        <v>80</v>
      </c>
    </row>
    <row r="126" spans="1:23" ht="11.25" customHeight="1" x14ac:dyDescent="0.25">
      <c r="A126" s="4" t="s">
        <v>21</v>
      </c>
      <c r="B126" s="4" t="s">
        <v>31</v>
      </c>
      <c r="C126" s="4" t="s">
        <v>23</v>
      </c>
      <c r="D126" s="4" t="s">
        <v>32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44501</v>
      </c>
      <c r="J126" s="6">
        <v>0</v>
      </c>
      <c r="K126" s="6">
        <v>0</v>
      </c>
      <c r="L126" s="6">
        <v>81.534999999999997</v>
      </c>
      <c r="M126" s="6">
        <v>81.534999999999997</v>
      </c>
      <c r="N126" s="6">
        <v>81.534999999999997</v>
      </c>
      <c r="O126" s="6">
        <v>81.534999999999997</v>
      </c>
      <c r="P126" s="6">
        <v>34</v>
      </c>
      <c r="Q126" s="4" t="s">
        <v>26</v>
      </c>
      <c r="R126" s="4">
        <v>0</v>
      </c>
      <c r="S126" s="4" t="s">
        <v>196</v>
      </c>
      <c r="T126" s="4" t="s">
        <v>299</v>
      </c>
      <c r="U126" s="4">
        <v>0</v>
      </c>
      <c r="V126" s="4">
        <v>39</v>
      </c>
      <c r="W126" s="4">
        <v>80</v>
      </c>
    </row>
    <row r="127" spans="1:23" ht="11.25" customHeight="1" x14ac:dyDescent="0.25">
      <c r="A127" s="4" t="s">
        <v>21</v>
      </c>
      <c r="B127" s="4" t="s">
        <v>31</v>
      </c>
      <c r="C127" s="4" t="s">
        <v>23</v>
      </c>
      <c r="D127" s="4" t="s">
        <v>32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44531</v>
      </c>
      <c r="J127" s="6">
        <v>0</v>
      </c>
      <c r="K127" s="6">
        <v>0</v>
      </c>
      <c r="L127" s="6">
        <v>88.182000000000002</v>
      </c>
      <c r="M127" s="6">
        <v>88.182000000000002</v>
      </c>
      <c r="N127" s="6">
        <v>88.182000000000002</v>
      </c>
      <c r="O127" s="6">
        <v>88.182000000000002</v>
      </c>
      <c r="P127" s="6">
        <v>34</v>
      </c>
      <c r="Q127" s="4" t="s">
        <v>26</v>
      </c>
      <c r="R127" s="4">
        <v>0</v>
      </c>
      <c r="S127" s="4" t="s">
        <v>197</v>
      </c>
      <c r="T127" s="4" t="s">
        <v>300</v>
      </c>
      <c r="U127" s="4">
        <v>0</v>
      </c>
      <c r="V127" s="4">
        <v>39</v>
      </c>
      <c r="W127" s="4">
        <v>80</v>
      </c>
    </row>
    <row r="128" spans="1:23" ht="11.25" customHeight="1" x14ac:dyDescent="0.25">
      <c r="A128" s="4" t="s">
        <v>21</v>
      </c>
      <c r="B128" s="4" t="s">
        <v>31</v>
      </c>
      <c r="C128" s="4" t="s">
        <v>23</v>
      </c>
      <c r="D128" s="4" t="s">
        <v>32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44562</v>
      </c>
      <c r="J128" s="6">
        <v>0</v>
      </c>
      <c r="K128" s="6">
        <v>0</v>
      </c>
      <c r="L128" s="6">
        <v>53.51</v>
      </c>
      <c r="M128" s="6">
        <v>53.51</v>
      </c>
      <c r="N128" s="6">
        <v>53.51</v>
      </c>
      <c r="O128" s="6">
        <v>53.51</v>
      </c>
      <c r="P128" s="6">
        <v>35</v>
      </c>
      <c r="Q128" s="4" t="s">
        <v>26</v>
      </c>
      <c r="R128" s="4">
        <v>0</v>
      </c>
      <c r="S128" s="4" t="s">
        <v>198</v>
      </c>
      <c r="T128" s="4" t="s">
        <v>301</v>
      </c>
      <c r="U128" s="4">
        <v>0</v>
      </c>
      <c r="V128" s="4">
        <v>39</v>
      </c>
      <c r="W128" s="4">
        <v>80</v>
      </c>
    </row>
    <row r="129" spans="1:23" ht="11.25" customHeight="1" x14ac:dyDescent="0.25">
      <c r="A129" s="4" t="s">
        <v>21</v>
      </c>
      <c r="B129" s="4" t="s">
        <v>31</v>
      </c>
      <c r="C129" s="4" t="s">
        <v>23</v>
      </c>
      <c r="D129" s="4" t="s">
        <v>32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44593</v>
      </c>
      <c r="J129" s="6">
        <v>0</v>
      </c>
      <c r="K129" s="6">
        <v>0</v>
      </c>
      <c r="L129" s="6">
        <v>73.861000000000004</v>
      </c>
      <c r="M129" s="6">
        <v>73.861000000000004</v>
      </c>
      <c r="N129" s="6">
        <v>73.861000000000004</v>
      </c>
      <c r="O129" s="6">
        <v>73.861000000000004</v>
      </c>
      <c r="P129" s="6">
        <v>36</v>
      </c>
      <c r="Q129" s="4" t="s">
        <v>26</v>
      </c>
      <c r="R129" s="4">
        <v>0</v>
      </c>
      <c r="S129" s="4" t="s">
        <v>199</v>
      </c>
      <c r="T129" s="4" t="s">
        <v>302</v>
      </c>
      <c r="U129" s="4">
        <v>0</v>
      </c>
      <c r="V129" s="4">
        <v>39</v>
      </c>
      <c r="W129" s="4">
        <v>80</v>
      </c>
    </row>
    <row r="130" spans="1:23" ht="11.25" customHeight="1" x14ac:dyDescent="0.25">
      <c r="A130" s="4" t="s">
        <v>21</v>
      </c>
      <c r="B130" s="4" t="s">
        <v>31</v>
      </c>
      <c r="C130" s="4" t="s">
        <v>23</v>
      </c>
      <c r="D130" s="4" t="s">
        <v>32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44621</v>
      </c>
      <c r="J130" s="6">
        <v>0</v>
      </c>
      <c r="K130" s="6">
        <v>0</v>
      </c>
      <c r="L130" s="6">
        <v>83.23</v>
      </c>
      <c r="M130" s="6">
        <v>83.23</v>
      </c>
      <c r="N130" s="6">
        <v>83.23</v>
      </c>
      <c r="O130" s="6">
        <v>83.23</v>
      </c>
      <c r="P130" s="6">
        <v>35</v>
      </c>
      <c r="Q130" s="4" t="s">
        <v>26</v>
      </c>
      <c r="R130" s="4">
        <v>0</v>
      </c>
      <c r="S130" s="4" t="s">
        <v>200</v>
      </c>
      <c r="T130" s="4" t="s">
        <v>303</v>
      </c>
      <c r="U130" s="4">
        <v>0</v>
      </c>
      <c r="V130" s="4">
        <v>39</v>
      </c>
      <c r="W130" s="4">
        <v>80</v>
      </c>
    </row>
    <row r="131" spans="1:23" ht="11.25" customHeight="1" x14ac:dyDescent="0.25">
      <c r="A131" s="4" t="s">
        <v>21</v>
      </c>
      <c r="B131" s="4" t="s">
        <v>31</v>
      </c>
      <c r="C131" s="4" t="s">
        <v>23</v>
      </c>
      <c r="D131" s="4" t="s">
        <v>32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44652</v>
      </c>
      <c r="J131" s="6">
        <v>0</v>
      </c>
      <c r="K131" s="6">
        <v>0</v>
      </c>
      <c r="L131" s="6">
        <v>98.191000000000003</v>
      </c>
      <c r="M131" s="6">
        <v>98.191000000000003</v>
      </c>
      <c r="N131" s="6">
        <v>98.191000000000003</v>
      </c>
      <c r="O131" s="6">
        <v>98.191000000000003</v>
      </c>
      <c r="P131" s="6">
        <v>35</v>
      </c>
      <c r="Q131" s="4" t="s">
        <v>26</v>
      </c>
      <c r="R131" s="4">
        <v>0</v>
      </c>
      <c r="S131" s="4" t="s">
        <v>201</v>
      </c>
      <c r="T131" s="4" t="s">
        <v>304</v>
      </c>
      <c r="U131" s="4">
        <v>0</v>
      </c>
      <c r="V131" s="4">
        <v>39</v>
      </c>
      <c r="W131" s="4">
        <v>80</v>
      </c>
    </row>
    <row r="132" spans="1:23" ht="11.25" customHeight="1" x14ac:dyDescent="0.25">
      <c r="A132" s="4" t="s">
        <v>21</v>
      </c>
      <c r="B132" s="4" t="s">
        <v>31</v>
      </c>
      <c r="C132" s="4" t="s">
        <v>23</v>
      </c>
      <c r="D132" s="4" t="s">
        <v>32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44682</v>
      </c>
      <c r="J132" s="6">
        <v>0</v>
      </c>
      <c r="K132" s="6">
        <v>0</v>
      </c>
      <c r="L132" s="6">
        <v>72.741</v>
      </c>
      <c r="M132" s="6">
        <v>72.741</v>
      </c>
      <c r="N132" s="6">
        <v>72.741</v>
      </c>
      <c r="O132" s="6">
        <v>72.741</v>
      </c>
      <c r="P132" s="6">
        <v>35</v>
      </c>
      <c r="Q132" s="4" t="s">
        <v>26</v>
      </c>
      <c r="R132" s="4">
        <v>0</v>
      </c>
      <c r="S132" s="4" t="s">
        <v>202</v>
      </c>
      <c r="T132" s="4" t="s">
        <v>305</v>
      </c>
      <c r="U132" s="4">
        <v>0</v>
      </c>
      <c r="V132" s="4">
        <v>39</v>
      </c>
      <c r="W132" s="4">
        <v>80</v>
      </c>
    </row>
    <row r="133" spans="1:23" ht="11.25" customHeight="1" x14ac:dyDescent="0.25">
      <c r="A133" s="4" t="s">
        <v>21</v>
      </c>
      <c r="B133" s="4" t="s">
        <v>31</v>
      </c>
      <c r="C133" s="4" t="s">
        <v>23</v>
      </c>
      <c r="D133" s="4" t="s">
        <v>32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44713</v>
      </c>
      <c r="J133" s="6">
        <v>0</v>
      </c>
      <c r="K133" s="6">
        <v>0</v>
      </c>
      <c r="L133" s="6">
        <v>81.388999999999996</v>
      </c>
      <c r="M133" s="6">
        <v>81.388999999999996</v>
      </c>
      <c r="N133" s="6">
        <v>81.388999999999996</v>
      </c>
      <c r="O133" s="6">
        <v>81.388999999999996</v>
      </c>
      <c r="P133" s="6">
        <v>36</v>
      </c>
      <c r="Q133" s="4" t="s">
        <v>26</v>
      </c>
      <c r="R133" s="4">
        <v>0</v>
      </c>
      <c r="S133" s="4" t="s">
        <v>203</v>
      </c>
      <c r="T133" s="4" t="s">
        <v>306</v>
      </c>
      <c r="U133" s="4">
        <v>0</v>
      </c>
      <c r="V133" s="4">
        <v>39</v>
      </c>
      <c r="W133" s="4">
        <v>80</v>
      </c>
    </row>
    <row r="134" spans="1:23" ht="11.25" customHeight="1" x14ac:dyDescent="0.25">
      <c r="A134" s="4" t="s">
        <v>21</v>
      </c>
      <c r="B134" s="4" t="s">
        <v>31</v>
      </c>
      <c r="C134" s="4" t="s">
        <v>23</v>
      </c>
      <c r="D134" s="4" t="s">
        <v>32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44743</v>
      </c>
      <c r="J134" s="6">
        <v>0</v>
      </c>
      <c r="K134" s="6">
        <v>0</v>
      </c>
      <c r="L134" s="6">
        <v>73.849000000000004</v>
      </c>
      <c r="M134" s="6">
        <v>73.849000000000004</v>
      </c>
      <c r="N134" s="6">
        <v>73.849000000000004</v>
      </c>
      <c r="O134" s="6">
        <v>73.849000000000004</v>
      </c>
      <c r="P134" s="6">
        <v>36</v>
      </c>
      <c r="Q134" s="4" t="s">
        <v>26</v>
      </c>
      <c r="R134" s="4">
        <v>0</v>
      </c>
      <c r="S134" s="4" t="s">
        <v>204</v>
      </c>
      <c r="T134" s="4" t="s">
        <v>307</v>
      </c>
      <c r="U134" s="4">
        <v>0</v>
      </c>
      <c r="V134" s="4">
        <v>39</v>
      </c>
      <c r="W134" s="4">
        <v>80</v>
      </c>
    </row>
    <row r="135" spans="1:23" ht="11.25" customHeight="1" x14ac:dyDescent="0.25">
      <c r="A135" s="4" t="s">
        <v>21</v>
      </c>
      <c r="B135" s="4" t="s">
        <v>31</v>
      </c>
      <c r="C135" s="4" t="s">
        <v>23</v>
      </c>
      <c r="D135" s="4" t="s">
        <v>32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44774</v>
      </c>
      <c r="J135" s="6">
        <v>0</v>
      </c>
      <c r="K135" s="6">
        <v>0</v>
      </c>
      <c r="L135" s="6">
        <v>79.763999999999996</v>
      </c>
      <c r="M135" s="6">
        <v>79.763999999999996</v>
      </c>
      <c r="N135" s="6">
        <v>79.763999999999996</v>
      </c>
      <c r="O135" s="6">
        <v>79.763999999999996</v>
      </c>
      <c r="P135" s="6">
        <v>37</v>
      </c>
      <c r="Q135" s="4" t="s">
        <v>26</v>
      </c>
      <c r="R135" s="4">
        <v>0</v>
      </c>
      <c r="S135" s="4" t="s">
        <v>205</v>
      </c>
      <c r="T135" s="4" t="s">
        <v>308</v>
      </c>
      <c r="U135" s="4">
        <v>0</v>
      </c>
      <c r="V135" s="4">
        <v>39</v>
      </c>
      <c r="W135" s="4">
        <v>80</v>
      </c>
    </row>
    <row r="136" spans="1:23" ht="11.25" customHeight="1" x14ac:dyDescent="0.25">
      <c r="A136" s="4" t="s">
        <v>21</v>
      </c>
      <c r="B136" s="4" t="s">
        <v>31</v>
      </c>
      <c r="C136" s="4" t="s">
        <v>23</v>
      </c>
      <c r="D136" s="4" t="s">
        <v>41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44440</v>
      </c>
      <c r="J136" s="6">
        <v>0</v>
      </c>
      <c r="K136" s="6">
        <v>0</v>
      </c>
      <c r="L136" s="6">
        <v>6.6059999999999999</v>
      </c>
      <c r="M136" s="6">
        <v>6.6059999999999999</v>
      </c>
      <c r="N136" s="6">
        <v>6.6059999999999999</v>
      </c>
      <c r="O136" s="6">
        <v>6.6059999999999999</v>
      </c>
      <c r="P136" s="6">
        <v>14</v>
      </c>
      <c r="Q136" s="4" t="s">
        <v>26</v>
      </c>
      <c r="R136" s="4">
        <v>0</v>
      </c>
      <c r="S136" s="4" t="s">
        <v>194</v>
      </c>
      <c r="T136" s="4" t="s">
        <v>297</v>
      </c>
      <c r="U136" s="4">
        <v>0</v>
      </c>
      <c r="V136" s="4">
        <v>39</v>
      </c>
      <c r="W136" s="4">
        <v>80</v>
      </c>
    </row>
    <row r="137" spans="1:23" ht="11.25" customHeight="1" x14ac:dyDescent="0.25">
      <c r="A137" s="4" t="s">
        <v>21</v>
      </c>
      <c r="B137" s="4" t="s">
        <v>31</v>
      </c>
      <c r="C137" s="4" t="s">
        <v>23</v>
      </c>
      <c r="D137" s="4" t="s">
        <v>41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44470</v>
      </c>
      <c r="J137" s="6">
        <v>0</v>
      </c>
      <c r="K137" s="6">
        <v>0</v>
      </c>
      <c r="L137" s="6">
        <v>6.6189999999999998</v>
      </c>
      <c r="M137" s="6">
        <v>6.6189999999999998</v>
      </c>
      <c r="N137" s="6">
        <v>6.6189999999999998</v>
      </c>
      <c r="O137" s="6">
        <v>6.6189999999999998</v>
      </c>
      <c r="P137" s="6">
        <v>14</v>
      </c>
      <c r="Q137" s="4" t="s">
        <v>26</v>
      </c>
      <c r="R137" s="4">
        <v>0</v>
      </c>
      <c r="S137" s="4" t="s">
        <v>195</v>
      </c>
      <c r="T137" s="4" t="s">
        <v>298</v>
      </c>
      <c r="U137" s="4">
        <v>0</v>
      </c>
      <c r="V137" s="4">
        <v>39</v>
      </c>
      <c r="W137" s="4">
        <v>80</v>
      </c>
    </row>
    <row r="138" spans="1:23" ht="11.25" customHeight="1" x14ac:dyDescent="0.25">
      <c r="A138" s="4" t="s">
        <v>21</v>
      </c>
      <c r="B138" s="4" t="s">
        <v>31</v>
      </c>
      <c r="C138" s="4" t="s">
        <v>23</v>
      </c>
      <c r="D138" s="4" t="s">
        <v>41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44501</v>
      </c>
      <c r="J138" s="6">
        <v>0</v>
      </c>
      <c r="K138" s="6">
        <v>0</v>
      </c>
      <c r="L138" s="6">
        <v>6.8410000000000002</v>
      </c>
      <c r="M138" s="6">
        <v>6.8410000000000002</v>
      </c>
      <c r="N138" s="6">
        <v>6.8410000000000002</v>
      </c>
      <c r="O138" s="6">
        <v>6.8410000000000002</v>
      </c>
      <c r="P138" s="6">
        <v>14</v>
      </c>
      <c r="Q138" s="4" t="s">
        <v>26</v>
      </c>
      <c r="R138" s="4">
        <v>0</v>
      </c>
      <c r="S138" s="4" t="s">
        <v>196</v>
      </c>
      <c r="T138" s="4" t="s">
        <v>299</v>
      </c>
      <c r="U138" s="4">
        <v>0</v>
      </c>
      <c r="V138" s="4">
        <v>39</v>
      </c>
      <c r="W138" s="4">
        <v>80</v>
      </c>
    </row>
    <row r="139" spans="1:23" ht="11.25" customHeight="1" x14ac:dyDescent="0.25">
      <c r="A139" s="4" t="s">
        <v>21</v>
      </c>
      <c r="B139" s="4" t="s">
        <v>31</v>
      </c>
      <c r="C139" s="4" t="s">
        <v>23</v>
      </c>
      <c r="D139" s="4" t="s">
        <v>41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44531</v>
      </c>
      <c r="J139" s="6">
        <v>0</v>
      </c>
      <c r="K139" s="6">
        <v>0</v>
      </c>
      <c r="L139" s="6">
        <v>7.8449999999999998</v>
      </c>
      <c r="M139" s="6">
        <v>7.8449999999999998</v>
      </c>
      <c r="N139" s="6">
        <v>7.8449999999999998</v>
      </c>
      <c r="O139" s="6">
        <v>7.8449999999999998</v>
      </c>
      <c r="P139" s="6">
        <v>14</v>
      </c>
      <c r="Q139" s="4" t="s">
        <v>26</v>
      </c>
      <c r="R139" s="4">
        <v>0</v>
      </c>
      <c r="S139" s="4" t="s">
        <v>197</v>
      </c>
      <c r="T139" s="4" t="s">
        <v>300</v>
      </c>
      <c r="U139" s="4">
        <v>0</v>
      </c>
      <c r="V139" s="4">
        <v>39</v>
      </c>
      <c r="W139" s="4">
        <v>80</v>
      </c>
    </row>
    <row r="140" spans="1:23" ht="11.25" customHeight="1" x14ac:dyDescent="0.25">
      <c r="A140" s="4" t="s">
        <v>21</v>
      </c>
      <c r="B140" s="4" t="s">
        <v>31</v>
      </c>
      <c r="C140" s="4" t="s">
        <v>23</v>
      </c>
      <c r="D140" s="4" t="s">
        <v>41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44562</v>
      </c>
      <c r="J140" s="6">
        <v>0</v>
      </c>
      <c r="K140" s="6">
        <v>0</v>
      </c>
      <c r="L140" s="6">
        <v>7.9379999999999997</v>
      </c>
      <c r="M140" s="6">
        <v>7.9379999999999997</v>
      </c>
      <c r="N140" s="6">
        <v>7.9379999999999997</v>
      </c>
      <c r="O140" s="6">
        <v>7.9379999999999997</v>
      </c>
      <c r="P140" s="6">
        <v>15</v>
      </c>
      <c r="Q140" s="4" t="s">
        <v>26</v>
      </c>
      <c r="R140" s="4">
        <v>0</v>
      </c>
      <c r="S140" s="4" t="s">
        <v>198</v>
      </c>
      <c r="T140" s="4" t="s">
        <v>301</v>
      </c>
      <c r="U140" s="4">
        <v>0</v>
      </c>
      <c r="V140" s="4">
        <v>39</v>
      </c>
      <c r="W140" s="4">
        <v>80</v>
      </c>
    </row>
    <row r="141" spans="1:23" ht="11.25" customHeight="1" x14ac:dyDescent="0.25">
      <c r="A141" s="4" t="s">
        <v>21</v>
      </c>
      <c r="B141" s="4" t="s">
        <v>31</v>
      </c>
      <c r="C141" s="4" t="s">
        <v>23</v>
      </c>
      <c r="D141" s="4" t="s">
        <v>41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44593</v>
      </c>
      <c r="J141" s="6">
        <v>0</v>
      </c>
      <c r="K141" s="6">
        <v>0</v>
      </c>
      <c r="L141" s="6">
        <v>10.428000000000001</v>
      </c>
      <c r="M141" s="6">
        <v>10.428000000000001</v>
      </c>
      <c r="N141" s="6">
        <v>10.428000000000001</v>
      </c>
      <c r="O141" s="6">
        <v>10.428000000000001</v>
      </c>
      <c r="P141" s="6">
        <v>15</v>
      </c>
      <c r="Q141" s="4" t="s">
        <v>26</v>
      </c>
      <c r="R141" s="4">
        <v>0</v>
      </c>
      <c r="S141" s="4" t="s">
        <v>199</v>
      </c>
      <c r="T141" s="4" t="s">
        <v>302</v>
      </c>
      <c r="U141" s="4">
        <v>0</v>
      </c>
      <c r="V141" s="4">
        <v>39</v>
      </c>
      <c r="W141" s="4">
        <v>80</v>
      </c>
    </row>
    <row r="142" spans="1:23" ht="11.25" customHeight="1" x14ac:dyDescent="0.25">
      <c r="A142" s="4" t="s">
        <v>21</v>
      </c>
      <c r="B142" s="4" t="s">
        <v>31</v>
      </c>
      <c r="C142" s="4" t="s">
        <v>23</v>
      </c>
      <c r="D142" s="4" t="s">
        <v>41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44621</v>
      </c>
      <c r="J142" s="6">
        <v>0</v>
      </c>
      <c r="K142" s="6">
        <v>0</v>
      </c>
      <c r="L142" s="6">
        <v>13.288</v>
      </c>
      <c r="M142" s="6">
        <v>13.288</v>
      </c>
      <c r="N142" s="6">
        <v>13.288</v>
      </c>
      <c r="O142" s="6">
        <v>13.288</v>
      </c>
      <c r="P142" s="6">
        <v>15</v>
      </c>
      <c r="Q142" s="4" t="s">
        <v>26</v>
      </c>
      <c r="R142" s="4">
        <v>0</v>
      </c>
      <c r="S142" s="4" t="s">
        <v>200</v>
      </c>
      <c r="T142" s="4" t="s">
        <v>303</v>
      </c>
      <c r="U142" s="4">
        <v>0</v>
      </c>
      <c r="V142" s="4">
        <v>39</v>
      </c>
      <c r="W142" s="4">
        <v>80</v>
      </c>
    </row>
    <row r="143" spans="1:23" ht="11.25" customHeight="1" x14ac:dyDescent="0.25">
      <c r="A143" s="4" t="s">
        <v>21</v>
      </c>
      <c r="B143" s="4" t="s">
        <v>31</v>
      </c>
      <c r="C143" s="4" t="s">
        <v>23</v>
      </c>
      <c r="D143" s="4" t="s">
        <v>41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44652</v>
      </c>
      <c r="J143" s="6">
        <v>0</v>
      </c>
      <c r="K143" s="6">
        <v>0</v>
      </c>
      <c r="L143" s="6">
        <v>10.308999999999999</v>
      </c>
      <c r="M143" s="6">
        <v>10.308999999999999</v>
      </c>
      <c r="N143" s="6">
        <v>10.308999999999999</v>
      </c>
      <c r="O143" s="6">
        <v>10.308999999999999</v>
      </c>
      <c r="P143" s="6">
        <v>15</v>
      </c>
      <c r="Q143" s="4" t="s">
        <v>26</v>
      </c>
      <c r="R143" s="4">
        <v>0</v>
      </c>
      <c r="S143" s="4" t="s">
        <v>201</v>
      </c>
      <c r="T143" s="4" t="s">
        <v>304</v>
      </c>
      <c r="U143" s="4">
        <v>0</v>
      </c>
      <c r="V143" s="4">
        <v>39</v>
      </c>
      <c r="W143" s="4">
        <v>80</v>
      </c>
    </row>
    <row r="144" spans="1:23" ht="11.25" customHeight="1" x14ac:dyDescent="0.25">
      <c r="A144" s="4" t="s">
        <v>21</v>
      </c>
      <c r="B144" s="4" t="s">
        <v>31</v>
      </c>
      <c r="C144" s="4" t="s">
        <v>23</v>
      </c>
      <c r="D144" s="4" t="s">
        <v>41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44682</v>
      </c>
      <c r="J144" s="6">
        <v>0</v>
      </c>
      <c r="K144" s="6">
        <v>0</v>
      </c>
      <c r="L144" s="6">
        <v>8.0749999999999993</v>
      </c>
      <c r="M144" s="6">
        <v>8.0749999999999993</v>
      </c>
      <c r="N144" s="6">
        <v>8.0749999999999993</v>
      </c>
      <c r="O144" s="6">
        <v>8.0749999999999993</v>
      </c>
      <c r="P144" s="6">
        <v>15</v>
      </c>
      <c r="Q144" s="4" t="s">
        <v>26</v>
      </c>
      <c r="R144" s="4">
        <v>0</v>
      </c>
      <c r="S144" s="4" t="s">
        <v>202</v>
      </c>
      <c r="T144" s="4" t="s">
        <v>305</v>
      </c>
      <c r="U144" s="4">
        <v>0</v>
      </c>
      <c r="V144" s="4">
        <v>39</v>
      </c>
      <c r="W144" s="4">
        <v>80</v>
      </c>
    </row>
    <row r="145" spans="1:23" ht="11.25" customHeight="1" x14ac:dyDescent="0.25">
      <c r="A145" s="4" t="s">
        <v>21</v>
      </c>
      <c r="B145" s="4" t="s">
        <v>31</v>
      </c>
      <c r="C145" s="4" t="s">
        <v>23</v>
      </c>
      <c r="D145" s="4" t="s">
        <v>41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44713</v>
      </c>
      <c r="J145" s="6">
        <v>0</v>
      </c>
      <c r="K145" s="6">
        <v>0</v>
      </c>
      <c r="L145" s="6">
        <v>7.0259999999999998</v>
      </c>
      <c r="M145" s="6">
        <v>7.0259999999999998</v>
      </c>
      <c r="N145" s="6">
        <v>7.0259999999999998</v>
      </c>
      <c r="O145" s="6">
        <v>7.0259999999999998</v>
      </c>
      <c r="P145" s="6">
        <v>15</v>
      </c>
      <c r="Q145" s="4" t="s">
        <v>26</v>
      </c>
      <c r="R145" s="4">
        <v>0</v>
      </c>
      <c r="S145" s="4" t="s">
        <v>203</v>
      </c>
      <c r="T145" s="4" t="s">
        <v>306</v>
      </c>
      <c r="U145" s="4">
        <v>0</v>
      </c>
      <c r="V145" s="4">
        <v>39</v>
      </c>
      <c r="W145" s="4">
        <v>80</v>
      </c>
    </row>
    <row r="146" spans="1:23" ht="11.25" customHeight="1" x14ac:dyDescent="0.25">
      <c r="A146" s="4" t="s">
        <v>21</v>
      </c>
      <c r="B146" s="4" t="s">
        <v>31</v>
      </c>
      <c r="C146" s="4" t="s">
        <v>23</v>
      </c>
      <c r="D146" s="4" t="s">
        <v>41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44743</v>
      </c>
      <c r="J146" s="6">
        <v>0</v>
      </c>
      <c r="K146" s="6">
        <v>0</v>
      </c>
      <c r="L146" s="6">
        <v>7.2480000000000002</v>
      </c>
      <c r="M146" s="6">
        <v>7.2480000000000002</v>
      </c>
      <c r="N146" s="6">
        <v>7.2480000000000002</v>
      </c>
      <c r="O146" s="6">
        <v>7.2480000000000002</v>
      </c>
      <c r="P146" s="6">
        <v>15</v>
      </c>
      <c r="Q146" s="4" t="s">
        <v>26</v>
      </c>
      <c r="R146" s="4">
        <v>0</v>
      </c>
      <c r="S146" s="4" t="s">
        <v>204</v>
      </c>
      <c r="T146" s="4" t="s">
        <v>307</v>
      </c>
      <c r="U146" s="4">
        <v>0</v>
      </c>
      <c r="V146" s="4">
        <v>39</v>
      </c>
      <c r="W146" s="4">
        <v>80</v>
      </c>
    </row>
    <row r="147" spans="1:23" ht="11.25" customHeight="1" x14ac:dyDescent="0.25">
      <c r="A147" s="4" t="s">
        <v>21</v>
      </c>
      <c r="B147" s="4" t="s">
        <v>31</v>
      </c>
      <c r="C147" s="4" t="s">
        <v>23</v>
      </c>
      <c r="D147" s="4" t="s">
        <v>41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44774</v>
      </c>
      <c r="J147" s="6">
        <v>0</v>
      </c>
      <c r="K147" s="6">
        <v>0</v>
      </c>
      <c r="L147" s="6">
        <v>7.9889999999999999</v>
      </c>
      <c r="M147" s="6">
        <v>7.9889999999999999</v>
      </c>
      <c r="N147" s="6">
        <v>7.9889999999999999</v>
      </c>
      <c r="O147" s="6">
        <v>7.9889999999999999</v>
      </c>
      <c r="P147" s="6">
        <v>15</v>
      </c>
      <c r="Q147" s="4" t="s">
        <v>26</v>
      </c>
      <c r="R147" s="4">
        <v>0</v>
      </c>
      <c r="S147" s="4" t="s">
        <v>205</v>
      </c>
      <c r="T147" s="4" t="s">
        <v>308</v>
      </c>
      <c r="U147" s="4">
        <v>0</v>
      </c>
      <c r="V147" s="4">
        <v>39</v>
      </c>
      <c r="W147" s="4">
        <v>80</v>
      </c>
    </row>
    <row r="148" spans="1:23" ht="11.25" customHeight="1" x14ac:dyDescent="0.25">
      <c r="A148" s="4" t="s">
        <v>21</v>
      </c>
      <c r="B148" s="4" t="s">
        <v>31</v>
      </c>
      <c r="C148" s="4" t="s">
        <v>23</v>
      </c>
      <c r="D148" s="4" t="s">
        <v>45</v>
      </c>
      <c r="E148" s="4" t="s">
        <v>46</v>
      </c>
      <c r="F148" s="4" t="s">
        <v>25</v>
      </c>
      <c r="G148" s="4" t="s">
        <v>25</v>
      </c>
      <c r="H148" s="4" t="s">
        <v>25</v>
      </c>
      <c r="I148" s="5">
        <v>44440</v>
      </c>
      <c r="J148" s="6">
        <v>0</v>
      </c>
      <c r="K148" s="6">
        <v>0</v>
      </c>
      <c r="L148" s="6">
        <v>1.109</v>
      </c>
      <c r="M148" s="6">
        <v>1.0424599999999999</v>
      </c>
      <c r="N148" s="6">
        <v>1.109</v>
      </c>
      <c r="O148" s="6">
        <v>1.0424599999999999</v>
      </c>
      <c r="P148" s="6">
        <v>2</v>
      </c>
      <c r="Q148" s="4" t="s">
        <v>26</v>
      </c>
      <c r="R148" s="4">
        <v>0</v>
      </c>
      <c r="S148" s="4" t="s">
        <v>194</v>
      </c>
      <c r="T148" s="4" t="s">
        <v>297</v>
      </c>
      <c r="U148" s="4">
        <v>0</v>
      </c>
      <c r="V148" s="4">
        <v>39</v>
      </c>
      <c r="W148" s="4">
        <v>80</v>
      </c>
    </row>
    <row r="149" spans="1:23" ht="11.25" customHeight="1" x14ac:dyDescent="0.25">
      <c r="A149" s="4" t="s">
        <v>21</v>
      </c>
      <c r="B149" s="4" t="s">
        <v>31</v>
      </c>
      <c r="C149" s="4" t="s">
        <v>23</v>
      </c>
      <c r="D149" s="4" t="s">
        <v>45</v>
      </c>
      <c r="E149" s="4" t="s">
        <v>46</v>
      </c>
      <c r="F149" s="4" t="s">
        <v>25</v>
      </c>
      <c r="G149" s="4" t="s">
        <v>25</v>
      </c>
      <c r="H149" s="4" t="s">
        <v>25</v>
      </c>
      <c r="I149" s="5">
        <v>44470</v>
      </c>
      <c r="J149" s="6">
        <v>0</v>
      </c>
      <c r="K149" s="6">
        <v>0</v>
      </c>
      <c r="L149" s="6">
        <v>1.0189999999999999</v>
      </c>
      <c r="M149" s="6">
        <v>0.95785999999999982</v>
      </c>
      <c r="N149" s="6">
        <v>1.0189999999999999</v>
      </c>
      <c r="O149" s="6">
        <v>0.95785999999999982</v>
      </c>
      <c r="P149" s="6">
        <v>2</v>
      </c>
      <c r="Q149" s="4" t="s">
        <v>26</v>
      </c>
      <c r="R149" s="4">
        <v>0</v>
      </c>
      <c r="S149" s="4" t="s">
        <v>195</v>
      </c>
      <c r="T149" s="4" t="s">
        <v>298</v>
      </c>
      <c r="U149" s="4">
        <v>0</v>
      </c>
      <c r="V149" s="4">
        <v>39</v>
      </c>
      <c r="W149" s="4">
        <v>80</v>
      </c>
    </row>
    <row r="150" spans="1:23" ht="11.25" customHeight="1" x14ac:dyDescent="0.25">
      <c r="A150" s="4" t="s">
        <v>21</v>
      </c>
      <c r="B150" s="4" t="s">
        <v>31</v>
      </c>
      <c r="C150" s="4" t="s">
        <v>23</v>
      </c>
      <c r="D150" s="4" t="s">
        <v>45</v>
      </c>
      <c r="E150" s="4" t="s">
        <v>46</v>
      </c>
      <c r="F150" s="4" t="s">
        <v>25</v>
      </c>
      <c r="G150" s="4" t="s">
        <v>25</v>
      </c>
      <c r="H150" s="4" t="s">
        <v>25</v>
      </c>
      <c r="I150" s="5">
        <v>44501</v>
      </c>
      <c r="J150" s="6">
        <v>0</v>
      </c>
      <c r="K150" s="6">
        <v>0</v>
      </c>
      <c r="L150" s="6">
        <v>1.0860000000000001</v>
      </c>
      <c r="M150" s="6">
        <v>1.02084</v>
      </c>
      <c r="N150" s="6">
        <v>1.0860000000000001</v>
      </c>
      <c r="O150" s="6">
        <v>1.02084</v>
      </c>
      <c r="P150" s="6">
        <v>2</v>
      </c>
      <c r="Q150" s="4" t="s">
        <v>26</v>
      </c>
      <c r="R150" s="4">
        <v>0</v>
      </c>
      <c r="S150" s="4" t="s">
        <v>196</v>
      </c>
      <c r="T150" s="4" t="s">
        <v>299</v>
      </c>
      <c r="U150" s="4">
        <v>0</v>
      </c>
      <c r="V150" s="4">
        <v>39</v>
      </c>
      <c r="W150" s="4">
        <v>80</v>
      </c>
    </row>
    <row r="151" spans="1:23" ht="11.25" customHeight="1" x14ac:dyDescent="0.25">
      <c r="A151" s="4" t="s">
        <v>21</v>
      </c>
      <c r="B151" s="4" t="s">
        <v>31</v>
      </c>
      <c r="C151" s="4" t="s">
        <v>23</v>
      </c>
      <c r="D151" s="4" t="s">
        <v>45</v>
      </c>
      <c r="E151" s="4" t="s">
        <v>46</v>
      </c>
      <c r="F151" s="4" t="s">
        <v>25</v>
      </c>
      <c r="G151" s="4" t="s">
        <v>25</v>
      </c>
      <c r="H151" s="4" t="s">
        <v>25</v>
      </c>
      <c r="I151" s="5">
        <v>44531</v>
      </c>
      <c r="J151" s="6">
        <v>0</v>
      </c>
      <c r="K151" s="6">
        <v>0</v>
      </c>
      <c r="L151" s="6">
        <v>1.2649999999999999</v>
      </c>
      <c r="M151" s="6">
        <v>1.1891</v>
      </c>
      <c r="N151" s="6">
        <v>1.2649999999999999</v>
      </c>
      <c r="O151" s="6">
        <v>1.1891</v>
      </c>
      <c r="P151" s="6">
        <v>2</v>
      </c>
      <c r="Q151" s="4" t="s">
        <v>26</v>
      </c>
      <c r="R151" s="4">
        <v>0</v>
      </c>
      <c r="S151" s="4" t="s">
        <v>197</v>
      </c>
      <c r="T151" s="4" t="s">
        <v>300</v>
      </c>
      <c r="U151" s="4">
        <v>0</v>
      </c>
      <c r="V151" s="4">
        <v>39</v>
      </c>
      <c r="W151" s="4">
        <v>80</v>
      </c>
    </row>
    <row r="152" spans="1:23" ht="11.25" customHeight="1" x14ac:dyDescent="0.25">
      <c r="A152" s="4" t="s">
        <v>21</v>
      </c>
      <c r="B152" s="4" t="s">
        <v>31</v>
      </c>
      <c r="C152" s="4" t="s">
        <v>23</v>
      </c>
      <c r="D152" s="4" t="s">
        <v>45</v>
      </c>
      <c r="E152" s="4" t="s">
        <v>46</v>
      </c>
      <c r="F152" s="4" t="s">
        <v>25</v>
      </c>
      <c r="G152" s="4" t="s">
        <v>25</v>
      </c>
      <c r="H152" s="4" t="s">
        <v>25</v>
      </c>
      <c r="I152" s="5">
        <v>44562</v>
      </c>
      <c r="J152" s="6">
        <v>0</v>
      </c>
      <c r="K152" s="6">
        <v>0</v>
      </c>
      <c r="L152" s="6">
        <v>1.216</v>
      </c>
      <c r="M152" s="6">
        <v>1.1430400000000001</v>
      </c>
      <c r="N152" s="6">
        <v>1.216</v>
      </c>
      <c r="O152" s="6">
        <v>1.1430400000000001</v>
      </c>
      <c r="P152" s="6">
        <v>2</v>
      </c>
      <c r="Q152" s="4" t="s">
        <v>26</v>
      </c>
      <c r="R152" s="4">
        <v>0</v>
      </c>
      <c r="S152" s="4" t="s">
        <v>198</v>
      </c>
      <c r="T152" s="4" t="s">
        <v>301</v>
      </c>
      <c r="U152" s="4">
        <v>0</v>
      </c>
      <c r="V152" s="4">
        <v>39</v>
      </c>
      <c r="W152" s="4">
        <v>80</v>
      </c>
    </row>
    <row r="153" spans="1:23" ht="11.25" customHeight="1" x14ac:dyDescent="0.25">
      <c r="A153" s="4" t="s">
        <v>21</v>
      </c>
      <c r="B153" s="4" t="s">
        <v>31</v>
      </c>
      <c r="C153" s="4" t="s">
        <v>23</v>
      </c>
      <c r="D153" s="4" t="s">
        <v>45</v>
      </c>
      <c r="E153" s="4" t="s">
        <v>46</v>
      </c>
      <c r="F153" s="4" t="s">
        <v>25</v>
      </c>
      <c r="G153" s="4" t="s">
        <v>25</v>
      </c>
      <c r="H153" s="4" t="s">
        <v>25</v>
      </c>
      <c r="I153" s="5">
        <v>44621</v>
      </c>
      <c r="J153" s="6">
        <v>0</v>
      </c>
      <c r="K153" s="6">
        <v>0</v>
      </c>
      <c r="L153" s="6">
        <v>1.1000000000000001</v>
      </c>
      <c r="M153" s="6">
        <v>1.034</v>
      </c>
      <c r="N153" s="6">
        <v>1.1000000000000001</v>
      </c>
      <c r="O153" s="6">
        <v>1.034</v>
      </c>
      <c r="P153" s="6">
        <v>2</v>
      </c>
      <c r="Q153" s="4" t="s">
        <v>26</v>
      </c>
      <c r="R153" s="4">
        <v>0</v>
      </c>
      <c r="S153" s="4" t="s">
        <v>200</v>
      </c>
      <c r="T153" s="4" t="s">
        <v>303</v>
      </c>
      <c r="U153" s="4">
        <v>0</v>
      </c>
      <c r="V153" s="4">
        <v>39</v>
      </c>
      <c r="W153" s="4">
        <v>80</v>
      </c>
    </row>
    <row r="154" spans="1:23" ht="11.25" customHeight="1" x14ac:dyDescent="0.25">
      <c r="A154" s="4" t="s">
        <v>21</v>
      </c>
      <c r="B154" s="4" t="s">
        <v>31</v>
      </c>
      <c r="C154" s="4" t="s">
        <v>23</v>
      </c>
      <c r="D154" s="4" t="s">
        <v>45</v>
      </c>
      <c r="E154" s="4" t="s">
        <v>46</v>
      </c>
      <c r="F154" s="4" t="s">
        <v>25</v>
      </c>
      <c r="G154" s="4" t="s">
        <v>25</v>
      </c>
      <c r="H154" s="4" t="s">
        <v>25</v>
      </c>
      <c r="I154" s="5">
        <v>44652</v>
      </c>
      <c r="J154" s="6">
        <v>0</v>
      </c>
      <c r="K154" s="6">
        <v>0</v>
      </c>
      <c r="L154" s="6">
        <v>1.2410000000000001</v>
      </c>
      <c r="M154" s="6">
        <v>1.1665399999999999</v>
      </c>
      <c r="N154" s="6">
        <v>1.2410000000000001</v>
      </c>
      <c r="O154" s="6">
        <v>1.1665399999999999</v>
      </c>
      <c r="P154" s="6">
        <v>2</v>
      </c>
      <c r="Q154" s="4" t="s">
        <v>26</v>
      </c>
      <c r="R154" s="4">
        <v>0</v>
      </c>
      <c r="S154" s="4" t="s">
        <v>201</v>
      </c>
      <c r="T154" s="4" t="s">
        <v>304</v>
      </c>
      <c r="U154" s="4">
        <v>0</v>
      </c>
      <c r="V154" s="4">
        <v>39</v>
      </c>
      <c r="W154" s="4">
        <v>80</v>
      </c>
    </row>
    <row r="155" spans="1:23" ht="11.25" customHeight="1" x14ac:dyDescent="0.25">
      <c r="A155" s="4" t="s">
        <v>21</v>
      </c>
      <c r="B155" s="4" t="s">
        <v>31</v>
      </c>
      <c r="C155" s="4" t="s">
        <v>23</v>
      </c>
      <c r="D155" s="4" t="s">
        <v>45</v>
      </c>
      <c r="E155" s="4" t="s">
        <v>46</v>
      </c>
      <c r="F155" s="4" t="s">
        <v>25</v>
      </c>
      <c r="G155" s="4" t="s">
        <v>25</v>
      </c>
      <c r="H155" s="4" t="s">
        <v>25</v>
      </c>
      <c r="I155" s="5">
        <v>44682</v>
      </c>
      <c r="J155" s="6">
        <v>0</v>
      </c>
      <c r="K155" s="6">
        <v>0</v>
      </c>
      <c r="L155" s="6">
        <v>1.1399999999999999</v>
      </c>
      <c r="M155" s="6">
        <v>1.0716000000000001</v>
      </c>
      <c r="N155" s="6">
        <v>1.1399999999999999</v>
      </c>
      <c r="O155" s="6">
        <v>1.0716000000000001</v>
      </c>
      <c r="P155" s="6">
        <v>2</v>
      </c>
      <c r="Q155" s="4" t="s">
        <v>26</v>
      </c>
      <c r="R155" s="4">
        <v>0</v>
      </c>
      <c r="S155" s="4" t="s">
        <v>202</v>
      </c>
      <c r="T155" s="4" t="s">
        <v>305</v>
      </c>
      <c r="U155" s="4">
        <v>0</v>
      </c>
      <c r="V155" s="4">
        <v>39</v>
      </c>
      <c r="W155" s="4">
        <v>80</v>
      </c>
    </row>
    <row r="156" spans="1:23" ht="11.25" customHeight="1" x14ac:dyDescent="0.25">
      <c r="A156" s="4" t="s">
        <v>21</v>
      </c>
      <c r="B156" s="4" t="s">
        <v>31</v>
      </c>
      <c r="C156" s="4" t="s">
        <v>23</v>
      </c>
      <c r="D156" s="4" t="s">
        <v>45</v>
      </c>
      <c r="E156" s="4" t="s">
        <v>46</v>
      </c>
      <c r="F156" s="4" t="s">
        <v>25</v>
      </c>
      <c r="G156" s="4" t="s">
        <v>25</v>
      </c>
      <c r="H156" s="4" t="s">
        <v>25</v>
      </c>
      <c r="I156" s="5">
        <v>44713</v>
      </c>
      <c r="J156" s="6">
        <v>0</v>
      </c>
      <c r="K156" s="6">
        <v>0</v>
      </c>
      <c r="L156" s="6">
        <v>1.264</v>
      </c>
      <c r="M156" s="6">
        <v>1.1881600000000001</v>
      </c>
      <c r="N156" s="6">
        <v>1.264</v>
      </c>
      <c r="O156" s="6">
        <v>1.1881600000000001</v>
      </c>
      <c r="P156" s="6">
        <v>2</v>
      </c>
      <c r="Q156" s="4" t="s">
        <v>26</v>
      </c>
      <c r="R156" s="4">
        <v>0</v>
      </c>
      <c r="S156" s="4" t="s">
        <v>203</v>
      </c>
      <c r="T156" s="4" t="s">
        <v>306</v>
      </c>
      <c r="U156" s="4">
        <v>0</v>
      </c>
      <c r="V156" s="4">
        <v>39</v>
      </c>
      <c r="W156" s="4">
        <v>80</v>
      </c>
    </row>
    <row r="157" spans="1:23" ht="11.25" customHeight="1" x14ac:dyDescent="0.25">
      <c r="A157" s="4" t="s">
        <v>21</v>
      </c>
      <c r="B157" s="4" t="s">
        <v>31</v>
      </c>
      <c r="C157" s="4" t="s">
        <v>23</v>
      </c>
      <c r="D157" s="4" t="s">
        <v>45</v>
      </c>
      <c r="E157" s="4" t="s">
        <v>46</v>
      </c>
      <c r="F157" s="4" t="s">
        <v>25</v>
      </c>
      <c r="G157" s="4" t="s">
        <v>25</v>
      </c>
      <c r="H157" s="4" t="s">
        <v>25</v>
      </c>
      <c r="I157" s="5">
        <v>44743</v>
      </c>
      <c r="J157" s="6">
        <v>0</v>
      </c>
      <c r="K157" s="6">
        <v>0</v>
      </c>
      <c r="L157" s="6">
        <v>1.173</v>
      </c>
      <c r="M157" s="6">
        <v>1.1026199999999999</v>
      </c>
      <c r="N157" s="6">
        <v>1.173</v>
      </c>
      <c r="O157" s="6">
        <v>1.1026199999999999</v>
      </c>
      <c r="P157" s="6">
        <v>2</v>
      </c>
      <c r="Q157" s="4" t="s">
        <v>26</v>
      </c>
      <c r="R157" s="4">
        <v>0</v>
      </c>
      <c r="S157" s="4" t="s">
        <v>204</v>
      </c>
      <c r="T157" s="4" t="s">
        <v>307</v>
      </c>
      <c r="U157" s="4">
        <v>0</v>
      </c>
      <c r="V157" s="4">
        <v>39</v>
      </c>
      <c r="W157" s="4">
        <v>80</v>
      </c>
    </row>
    <row r="158" spans="1:23" ht="11.25" customHeight="1" x14ac:dyDescent="0.25">
      <c r="A158" s="4" t="s">
        <v>21</v>
      </c>
      <c r="B158" s="4" t="s">
        <v>31</v>
      </c>
      <c r="C158" s="4" t="s">
        <v>23</v>
      </c>
      <c r="D158" s="4" t="s">
        <v>45</v>
      </c>
      <c r="E158" s="4" t="s">
        <v>46</v>
      </c>
      <c r="F158" s="4" t="s">
        <v>25</v>
      </c>
      <c r="G158" s="4" t="s">
        <v>25</v>
      </c>
      <c r="H158" s="4" t="s">
        <v>25</v>
      </c>
      <c r="I158" s="5">
        <v>44774</v>
      </c>
      <c r="J158" s="6">
        <v>0</v>
      </c>
      <c r="K158" s="6">
        <v>0</v>
      </c>
      <c r="L158" s="6">
        <v>1.19</v>
      </c>
      <c r="M158" s="6">
        <v>1.1186</v>
      </c>
      <c r="N158" s="6">
        <v>1.19</v>
      </c>
      <c r="O158" s="6">
        <v>1.1186</v>
      </c>
      <c r="P158" s="6">
        <v>2</v>
      </c>
      <c r="Q158" s="4" t="s">
        <v>26</v>
      </c>
      <c r="R158" s="4">
        <v>0</v>
      </c>
      <c r="S158" s="4" t="s">
        <v>205</v>
      </c>
      <c r="T158" s="4" t="s">
        <v>308</v>
      </c>
      <c r="U158" s="4">
        <v>0</v>
      </c>
      <c r="V158" s="4">
        <v>39</v>
      </c>
      <c r="W158" s="4">
        <v>80</v>
      </c>
    </row>
    <row r="159" spans="1:23" ht="11.25" customHeight="1" x14ac:dyDescent="0.25">
      <c r="A159" s="4" t="s">
        <v>21</v>
      </c>
      <c r="B159" s="4" t="s">
        <v>42</v>
      </c>
      <c r="C159" s="4" t="s">
        <v>23</v>
      </c>
      <c r="D159" s="4" t="s">
        <v>43</v>
      </c>
      <c r="E159" s="4" t="s">
        <v>44</v>
      </c>
      <c r="F159" s="4" t="s">
        <v>25</v>
      </c>
      <c r="G159" s="4" t="s">
        <v>25</v>
      </c>
      <c r="H159" s="4" t="s">
        <v>25</v>
      </c>
      <c r="I159" s="5">
        <v>44440</v>
      </c>
      <c r="J159" s="6">
        <v>0</v>
      </c>
      <c r="K159" s="6">
        <v>0</v>
      </c>
      <c r="L159" s="6">
        <v>45.606999999999999</v>
      </c>
      <c r="M159" s="6">
        <v>45.606999999999999</v>
      </c>
      <c r="N159" s="6">
        <v>45.606999999999999</v>
      </c>
      <c r="O159" s="6">
        <v>45.606999999999999</v>
      </c>
      <c r="P159" s="6">
        <v>3</v>
      </c>
      <c r="Q159" s="4" t="s">
        <v>26</v>
      </c>
      <c r="R159" s="4">
        <v>0</v>
      </c>
      <c r="S159" s="4" t="s">
        <v>206</v>
      </c>
      <c r="T159" s="4" t="s">
        <v>309</v>
      </c>
      <c r="U159" s="4">
        <v>0</v>
      </c>
      <c r="V159" s="4">
        <v>50</v>
      </c>
      <c r="W159" s="4">
        <v>82</v>
      </c>
    </row>
    <row r="160" spans="1:23" ht="11.25" customHeight="1" x14ac:dyDescent="0.25">
      <c r="A160" s="4" t="s">
        <v>21</v>
      </c>
      <c r="B160" s="4" t="s">
        <v>42</v>
      </c>
      <c r="C160" s="4" t="s">
        <v>23</v>
      </c>
      <c r="D160" s="4" t="s">
        <v>43</v>
      </c>
      <c r="E160" s="4" t="s">
        <v>44</v>
      </c>
      <c r="F160" s="4" t="s">
        <v>25</v>
      </c>
      <c r="G160" s="4" t="s">
        <v>25</v>
      </c>
      <c r="H160" s="4" t="s">
        <v>25</v>
      </c>
      <c r="I160" s="5">
        <v>44470</v>
      </c>
      <c r="J160" s="6">
        <v>0</v>
      </c>
      <c r="K160" s="6">
        <v>0</v>
      </c>
      <c r="L160" s="6">
        <v>45.606999999999999</v>
      </c>
      <c r="M160" s="6">
        <v>45.606999999999999</v>
      </c>
      <c r="N160" s="6">
        <v>45.606999999999999</v>
      </c>
      <c r="O160" s="6">
        <v>45.606999999999999</v>
      </c>
      <c r="P160" s="6">
        <v>3</v>
      </c>
      <c r="Q160" s="4" t="s">
        <v>26</v>
      </c>
      <c r="R160" s="4">
        <v>0</v>
      </c>
      <c r="S160" s="4" t="s">
        <v>207</v>
      </c>
      <c r="T160" s="4" t="s">
        <v>310</v>
      </c>
      <c r="U160" s="4">
        <v>0</v>
      </c>
      <c r="V160" s="4">
        <v>50</v>
      </c>
      <c r="W160" s="4">
        <v>82</v>
      </c>
    </row>
    <row r="161" spans="1:23" ht="11.25" customHeight="1" x14ac:dyDescent="0.25">
      <c r="A161" s="4" t="s">
        <v>21</v>
      </c>
      <c r="B161" s="4" t="s">
        <v>42</v>
      </c>
      <c r="C161" s="4" t="s">
        <v>23</v>
      </c>
      <c r="D161" s="4" t="s">
        <v>43</v>
      </c>
      <c r="E161" s="4" t="s">
        <v>44</v>
      </c>
      <c r="F161" s="4" t="s">
        <v>25</v>
      </c>
      <c r="G161" s="4" t="s">
        <v>25</v>
      </c>
      <c r="H161" s="4" t="s">
        <v>25</v>
      </c>
      <c r="I161" s="5">
        <v>44501</v>
      </c>
      <c r="J161" s="6">
        <v>0</v>
      </c>
      <c r="K161" s="6">
        <v>0</v>
      </c>
      <c r="L161" s="6">
        <v>45.606999999999999</v>
      </c>
      <c r="M161" s="6">
        <v>45.606999999999999</v>
      </c>
      <c r="N161" s="6">
        <v>45.606999999999999</v>
      </c>
      <c r="O161" s="6">
        <v>45.606999999999999</v>
      </c>
      <c r="P161" s="6">
        <v>3</v>
      </c>
      <c r="Q161" s="4" t="s">
        <v>26</v>
      </c>
      <c r="R161" s="4">
        <v>0</v>
      </c>
      <c r="S161" s="4" t="s">
        <v>208</v>
      </c>
      <c r="T161" s="4" t="s">
        <v>311</v>
      </c>
      <c r="U161" s="4">
        <v>0</v>
      </c>
      <c r="V161" s="4">
        <v>50</v>
      </c>
      <c r="W161" s="4">
        <v>82</v>
      </c>
    </row>
    <row r="162" spans="1:23" ht="11.25" customHeight="1" x14ac:dyDescent="0.25">
      <c r="A162" s="4" t="s">
        <v>21</v>
      </c>
      <c r="B162" s="4" t="s">
        <v>42</v>
      </c>
      <c r="C162" s="4" t="s">
        <v>23</v>
      </c>
      <c r="D162" s="4" t="s">
        <v>43</v>
      </c>
      <c r="E162" s="4" t="s">
        <v>44</v>
      </c>
      <c r="F162" s="4" t="s">
        <v>25</v>
      </c>
      <c r="G162" s="4" t="s">
        <v>25</v>
      </c>
      <c r="H162" s="4" t="s">
        <v>25</v>
      </c>
      <c r="I162" s="5">
        <v>44531</v>
      </c>
      <c r="J162" s="6">
        <v>0</v>
      </c>
      <c r="K162" s="6">
        <v>0</v>
      </c>
      <c r="L162" s="6">
        <v>45.606999999999999</v>
      </c>
      <c r="M162" s="6">
        <v>45.606999999999999</v>
      </c>
      <c r="N162" s="6">
        <v>45.606999999999999</v>
      </c>
      <c r="O162" s="6">
        <v>45.606999999999999</v>
      </c>
      <c r="P162" s="6">
        <v>3</v>
      </c>
      <c r="Q162" s="4" t="s">
        <v>26</v>
      </c>
      <c r="R162" s="4">
        <v>0</v>
      </c>
      <c r="S162" s="4" t="s">
        <v>209</v>
      </c>
      <c r="T162" s="4" t="s">
        <v>312</v>
      </c>
      <c r="U162" s="4">
        <v>0</v>
      </c>
      <c r="V162" s="4">
        <v>50</v>
      </c>
      <c r="W162" s="4">
        <v>82</v>
      </c>
    </row>
    <row r="163" spans="1:23" ht="11.25" customHeight="1" x14ac:dyDescent="0.25">
      <c r="A163" s="4" t="s">
        <v>21</v>
      </c>
      <c r="B163" s="4" t="s">
        <v>42</v>
      </c>
      <c r="C163" s="4" t="s">
        <v>23</v>
      </c>
      <c r="D163" s="4" t="s">
        <v>43</v>
      </c>
      <c r="E163" s="4" t="s">
        <v>44</v>
      </c>
      <c r="F163" s="4" t="s">
        <v>25</v>
      </c>
      <c r="G163" s="4" t="s">
        <v>25</v>
      </c>
      <c r="H163" s="4" t="s">
        <v>25</v>
      </c>
      <c r="I163" s="5">
        <v>44562</v>
      </c>
      <c r="J163" s="6">
        <v>0</v>
      </c>
      <c r="K163" s="6">
        <v>0</v>
      </c>
      <c r="L163" s="6">
        <v>45.606999999999999</v>
      </c>
      <c r="M163" s="6">
        <v>45.606999999999999</v>
      </c>
      <c r="N163" s="6">
        <v>45.606999999999999</v>
      </c>
      <c r="O163" s="6">
        <v>45.606999999999999</v>
      </c>
      <c r="P163" s="6">
        <v>3</v>
      </c>
      <c r="Q163" s="4" t="s">
        <v>26</v>
      </c>
      <c r="R163" s="4">
        <v>0</v>
      </c>
      <c r="S163" s="4" t="s">
        <v>210</v>
      </c>
      <c r="T163" s="4" t="s">
        <v>313</v>
      </c>
      <c r="U163" s="4">
        <v>0</v>
      </c>
      <c r="V163" s="4">
        <v>50</v>
      </c>
      <c r="W163" s="4">
        <v>82</v>
      </c>
    </row>
    <row r="164" spans="1:23" ht="11.25" customHeight="1" x14ac:dyDescent="0.25">
      <c r="A164" s="4" t="s">
        <v>21</v>
      </c>
      <c r="B164" s="4" t="s">
        <v>42</v>
      </c>
      <c r="C164" s="4" t="s">
        <v>23</v>
      </c>
      <c r="D164" s="4" t="s">
        <v>43</v>
      </c>
      <c r="E164" s="4" t="s">
        <v>44</v>
      </c>
      <c r="F164" s="4" t="s">
        <v>25</v>
      </c>
      <c r="G164" s="4" t="s">
        <v>25</v>
      </c>
      <c r="H164" s="4" t="s">
        <v>25</v>
      </c>
      <c r="I164" s="5">
        <v>44593</v>
      </c>
      <c r="J164" s="6">
        <v>0</v>
      </c>
      <c r="K164" s="6">
        <v>0</v>
      </c>
      <c r="L164" s="6">
        <v>45.606999999999999</v>
      </c>
      <c r="M164" s="6">
        <v>45.606999999999999</v>
      </c>
      <c r="N164" s="6">
        <v>45.606999999999999</v>
      </c>
      <c r="O164" s="6">
        <v>45.606999999999999</v>
      </c>
      <c r="P164" s="6">
        <v>3</v>
      </c>
      <c r="Q164" s="4" t="s">
        <v>26</v>
      </c>
      <c r="R164" s="4">
        <v>0</v>
      </c>
      <c r="S164" s="4" t="s">
        <v>211</v>
      </c>
      <c r="T164" s="4" t="s">
        <v>314</v>
      </c>
      <c r="U164" s="4">
        <v>0</v>
      </c>
      <c r="V164" s="4">
        <v>50</v>
      </c>
      <c r="W164" s="4">
        <v>82</v>
      </c>
    </row>
    <row r="165" spans="1:23" ht="11.25" customHeight="1" x14ac:dyDescent="0.25">
      <c r="A165" s="4" t="s">
        <v>21</v>
      </c>
      <c r="B165" s="4" t="s">
        <v>42</v>
      </c>
      <c r="C165" s="4" t="s">
        <v>23</v>
      </c>
      <c r="D165" s="4" t="s">
        <v>43</v>
      </c>
      <c r="E165" s="4" t="s">
        <v>44</v>
      </c>
      <c r="F165" s="4" t="s">
        <v>25</v>
      </c>
      <c r="G165" s="4" t="s">
        <v>25</v>
      </c>
      <c r="H165" s="4" t="s">
        <v>25</v>
      </c>
      <c r="I165" s="5">
        <v>44621</v>
      </c>
      <c r="J165" s="6">
        <v>0</v>
      </c>
      <c r="K165" s="6">
        <v>0</v>
      </c>
      <c r="L165" s="6">
        <v>45.606999999999999</v>
      </c>
      <c r="M165" s="6">
        <v>45.606999999999999</v>
      </c>
      <c r="N165" s="6">
        <v>45.606999999999999</v>
      </c>
      <c r="O165" s="6">
        <v>45.606999999999999</v>
      </c>
      <c r="P165" s="6">
        <v>3</v>
      </c>
      <c r="Q165" s="4" t="s">
        <v>26</v>
      </c>
      <c r="R165" s="4">
        <v>0</v>
      </c>
      <c r="S165" s="4" t="s">
        <v>212</v>
      </c>
      <c r="T165" s="4" t="s">
        <v>315</v>
      </c>
      <c r="U165" s="4">
        <v>0</v>
      </c>
      <c r="V165" s="4">
        <v>50</v>
      </c>
      <c r="W165" s="4">
        <v>82</v>
      </c>
    </row>
    <row r="166" spans="1:23" ht="11.25" customHeight="1" x14ac:dyDescent="0.25">
      <c r="A166" s="4" t="s">
        <v>21</v>
      </c>
      <c r="B166" s="4" t="s">
        <v>42</v>
      </c>
      <c r="C166" s="4" t="s">
        <v>23</v>
      </c>
      <c r="D166" s="4" t="s">
        <v>43</v>
      </c>
      <c r="E166" s="4" t="s">
        <v>44</v>
      </c>
      <c r="F166" s="4" t="s">
        <v>25</v>
      </c>
      <c r="G166" s="4" t="s">
        <v>25</v>
      </c>
      <c r="H166" s="4" t="s">
        <v>25</v>
      </c>
      <c r="I166" s="5">
        <v>44652</v>
      </c>
      <c r="J166" s="6">
        <v>0</v>
      </c>
      <c r="K166" s="6">
        <v>0</v>
      </c>
      <c r="L166" s="6">
        <v>45.606999999999999</v>
      </c>
      <c r="M166" s="6">
        <v>45.606999999999999</v>
      </c>
      <c r="N166" s="6">
        <v>45.606999999999999</v>
      </c>
      <c r="O166" s="6">
        <v>45.606999999999999</v>
      </c>
      <c r="P166" s="6">
        <v>3</v>
      </c>
      <c r="Q166" s="4" t="s">
        <v>26</v>
      </c>
      <c r="R166" s="4">
        <v>0</v>
      </c>
      <c r="S166" s="4" t="s">
        <v>213</v>
      </c>
      <c r="T166" s="4" t="s">
        <v>316</v>
      </c>
      <c r="U166" s="4">
        <v>0</v>
      </c>
      <c r="V166" s="4">
        <v>50</v>
      </c>
      <c r="W166" s="4">
        <v>82</v>
      </c>
    </row>
    <row r="167" spans="1:23" ht="11.25" customHeight="1" x14ac:dyDescent="0.25">
      <c r="A167" s="4" t="s">
        <v>21</v>
      </c>
      <c r="B167" s="4" t="s">
        <v>42</v>
      </c>
      <c r="C167" s="4" t="s">
        <v>23</v>
      </c>
      <c r="D167" s="4" t="s">
        <v>43</v>
      </c>
      <c r="E167" s="4" t="s">
        <v>44</v>
      </c>
      <c r="F167" s="4" t="s">
        <v>25</v>
      </c>
      <c r="G167" s="4" t="s">
        <v>25</v>
      </c>
      <c r="H167" s="4" t="s">
        <v>25</v>
      </c>
      <c r="I167" s="5">
        <v>44682</v>
      </c>
      <c r="J167" s="6">
        <v>0</v>
      </c>
      <c r="K167" s="6">
        <v>0</v>
      </c>
      <c r="L167" s="6">
        <v>45.606999999999999</v>
      </c>
      <c r="M167" s="6">
        <v>45.606999999999999</v>
      </c>
      <c r="N167" s="6">
        <v>45.606999999999999</v>
      </c>
      <c r="O167" s="6">
        <v>45.606999999999999</v>
      </c>
      <c r="P167" s="6">
        <v>3</v>
      </c>
      <c r="Q167" s="4" t="s">
        <v>26</v>
      </c>
      <c r="R167" s="4">
        <v>0</v>
      </c>
      <c r="S167" s="4" t="s">
        <v>214</v>
      </c>
      <c r="T167" s="4" t="s">
        <v>317</v>
      </c>
      <c r="U167" s="4">
        <v>0</v>
      </c>
      <c r="V167" s="4">
        <v>50</v>
      </c>
      <c r="W167" s="4">
        <v>82</v>
      </c>
    </row>
    <row r="168" spans="1:23" ht="11.25" customHeight="1" x14ac:dyDescent="0.25">
      <c r="A168" s="4" t="s">
        <v>21</v>
      </c>
      <c r="B168" s="4" t="s">
        <v>42</v>
      </c>
      <c r="C168" s="4" t="s">
        <v>23</v>
      </c>
      <c r="D168" s="4" t="s">
        <v>43</v>
      </c>
      <c r="E168" s="4" t="s">
        <v>44</v>
      </c>
      <c r="F168" s="4" t="s">
        <v>25</v>
      </c>
      <c r="G168" s="4" t="s">
        <v>25</v>
      </c>
      <c r="H168" s="4" t="s">
        <v>25</v>
      </c>
      <c r="I168" s="5">
        <v>44713</v>
      </c>
      <c r="J168" s="6">
        <v>0</v>
      </c>
      <c r="K168" s="6">
        <v>0</v>
      </c>
      <c r="L168" s="6">
        <v>45.606999999999999</v>
      </c>
      <c r="M168" s="6">
        <v>45.606999999999999</v>
      </c>
      <c r="N168" s="6">
        <v>45.606999999999999</v>
      </c>
      <c r="O168" s="6">
        <v>45.606999999999999</v>
      </c>
      <c r="P168" s="6">
        <v>3</v>
      </c>
      <c r="Q168" s="4" t="s">
        <v>26</v>
      </c>
      <c r="R168" s="4">
        <v>0</v>
      </c>
      <c r="S168" s="4" t="s">
        <v>215</v>
      </c>
      <c r="T168" s="4" t="s">
        <v>318</v>
      </c>
      <c r="U168" s="4">
        <v>0</v>
      </c>
      <c r="V168" s="4">
        <v>50</v>
      </c>
      <c r="W168" s="4">
        <v>82</v>
      </c>
    </row>
    <row r="169" spans="1:23" ht="11.25" customHeight="1" x14ac:dyDescent="0.25">
      <c r="A169" s="4" t="s">
        <v>21</v>
      </c>
      <c r="B169" s="4" t="s">
        <v>42</v>
      </c>
      <c r="C169" s="4" t="s">
        <v>23</v>
      </c>
      <c r="D169" s="4" t="s">
        <v>43</v>
      </c>
      <c r="E169" s="4" t="s">
        <v>44</v>
      </c>
      <c r="F169" s="4" t="s">
        <v>25</v>
      </c>
      <c r="G169" s="4" t="s">
        <v>25</v>
      </c>
      <c r="H169" s="4" t="s">
        <v>25</v>
      </c>
      <c r="I169" s="5">
        <v>44743</v>
      </c>
      <c r="J169" s="6">
        <v>0</v>
      </c>
      <c r="K169" s="6">
        <v>0</v>
      </c>
      <c r="L169" s="6">
        <v>45.606999999999999</v>
      </c>
      <c r="M169" s="6">
        <v>45.606999999999999</v>
      </c>
      <c r="N169" s="6">
        <v>45.606999999999999</v>
      </c>
      <c r="O169" s="6">
        <v>45.606999999999999</v>
      </c>
      <c r="P169" s="6">
        <v>3</v>
      </c>
      <c r="Q169" s="4" t="s">
        <v>26</v>
      </c>
      <c r="R169" s="4">
        <v>0</v>
      </c>
      <c r="S169" s="4" t="s">
        <v>216</v>
      </c>
      <c r="T169" s="4" t="s">
        <v>319</v>
      </c>
      <c r="U169" s="4">
        <v>0</v>
      </c>
      <c r="V169" s="4">
        <v>50</v>
      </c>
      <c r="W169" s="4">
        <v>82</v>
      </c>
    </row>
    <row r="170" spans="1:23" ht="11.25" customHeight="1" x14ac:dyDescent="0.25">
      <c r="A170" s="4" t="s">
        <v>21</v>
      </c>
      <c r="B170" s="4" t="s">
        <v>42</v>
      </c>
      <c r="C170" s="4" t="s">
        <v>23</v>
      </c>
      <c r="D170" s="4" t="s">
        <v>43</v>
      </c>
      <c r="E170" s="4" t="s">
        <v>44</v>
      </c>
      <c r="F170" s="4" t="s">
        <v>25</v>
      </c>
      <c r="G170" s="4" t="s">
        <v>25</v>
      </c>
      <c r="H170" s="4" t="s">
        <v>25</v>
      </c>
      <c r="I170" s="5">
        <v>44774</v>
      </c>
      <c r="J170" s="6">
        <v>0</v>
      </c>
      <c r="K170" s="6">
        <v>0</v>
      </c>
      <c r="L170" s="6">
        <v>45.606999999999999</v>
      </c>
      <c r="M170" s="6">
        <v>45.606999999999999</v>
      </c>
      <c r="N170" s="6">
        <v>45.606999999999999</v>
      </c>
      <c r="O170" s="6">
        <v>45.606999999999999</v>
      </c>
      <c r="P170" s="6">
        <v>3</v>
      </c>
      <c r="Q170" s="4" t="s">
        <v>26</v>
      </c>
      <c r="R170" s="4">
        <v>0</v>
      </c>
      <c r="S170" s="4" t="s">
        <v>217</v>
      </c>
      <c r="T170" s="4" t="s">
        <v>320</v>
      </c>
      <c r="U170" s="4">
        <v>0</v>
      </c>
      <c r="V170" s="4">
        <v>50</v>
      </c>
      <c r="W170" s="4">
        <v>82</v>
      </c>
    </row>
  </sheetData>
  <sortState xmlns:xlrd2="http://schemas.microsoft.com/office/spreadsheetml/2017/richdata2" ref="A2:W170">
    <sortCondition ref="B2:B170"/>
    <sortCondition ref="C2:C170"/>
    <sortCondition ref="D2:D170"/>
    <sortCondition ref="E2:E170"/>
    <sortCondition ref="F2:F170"/>
    <sortCondition ref="H2:H17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BB4D-8761-4744-AB07-ADCD9CC0B26D}">
  <dimension ref="A1:AP58"/>
  <sheetViews>
    <sheetView showGridLines="0" topLeftCell="X35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440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O1" s="20"/>
      <c r="AP1" s="109" t="s">
        <v>425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O2" s="20"/>
      <c r="AP2" s="110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/>
      <c r="U3" s="105" t="s">
        <v>332</v>
      </c>
      <c r="V3" s="105"/>
      <c r="W3" s="105"/>
      <c r="X3" s="105"/>
      <c r="Y3" s="105"/>
      <c r="Z3" s="105"/>
      <c r="AA3" s="105"/>
      <c r="AB3" s="105"/>
      <c r="AC3" s="105" t="s">
        <v>340</v>
      </c>
      <c r="AD3" s="105"/>
      <c r="AE3" s="105" t="s">
        <v>342</v>
      </c>
      <c r="AF3" s="105"/>
      <c r="AG3" s="105"/>
      <c r="AH3" s="105" t="s">
        <v>345</v>
      </c>
      <c r="AI3" s="105"/>
      <c r="AJ3" s="105"/>
      <c r="AK3" s="105"/>
      <c r="AL3" s="105"/>
      <c r="AM3" s="105" t="s">
        <v>331</v>
      </c>
      <c r="AO3" s="20"/>
      <c r="AP3" s="110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331</v>
      </c>
      <c r="U4" s="10" t="s">
        <v>333</v>
      </c>
      <c r="V4" s="10" t="s">
        <v>334</v>
      </c>
      <c r="W4" s="10" t="s">
        <v>335</v>
      </c>
      <c r="X4" s="10" t="s">
        <v>336</v>
      </c>
      <c r="Y4" s="10" t="s">
        <v>337</v>
      </c>
      <c r="Z4" s="10" t="s">
        <v>338</v>
      </c>
      <c r="AA4" s="10" t="s">
        <v>339</v>
      </c>
      <c r="AB4" s="10" t="s">
        <v>331</v>
      </c>
      <c r="AC4" s="10" t="s">
        <v>341</v>
      </c>
      <c r="AD4" s="10" t="s">
        <v>331</v>
      </c>
      <c r="AE4" s="10" t="s">
        <v>343</v>
      </c>
      <c r="AF4" s="10" t="s">
        <v>344</v>
      </c>
      <c r="AG4" s="10" t="s">
        <v>331</v>
      </c>
      <c r="AH4" s="10" t="s">
        <v>346</v>
      </c>
      <c r="AI4" s="10" t="s">
        <v>347</v>
      </c>
      <c r="AJ4" s="10" t="s">
        <v>348</v>
      </c>
      <c r="AK4" s="10" t="s">
        <v>349</v>
      </c>
      <c r="AL4" s="10" t="s">
        <v>331</v>
      </c>
      <c r="AM4" s="107"/>
      <c r="AO4" s="21" t="s">
        <v>442</v>
      </c>
      <c r="AP4" s="111"/>
    </row>
    <row r="5" spans="1:42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>
        <f>'TUSD BE'!$L$5*'TUSD BE'!$L$58</f>
        <v>0</v>
      </c>
      <c r="M5" s="12">
        <f>'TUSD BE'!$M$5*'TUSD BE'!$M$58</f>
        <v>0</v>
      </c>
      <c r="N5" s="12">
        <f ca="1">'TUSD BE'!$N$5*'TUSD BE'!$N$58</f>
        <v>0</v>
      </c>
      <c r="O5" s="12">
        <f>'TUSD BE'!$O$5*'TUSD BE'!$O$58</f>
        <v>0</v>
      </c>
      <c r="P5" s="12">
        <f>'TUSD BE'!$P$5*'TUSD BE'!$P$58</f>
        <v>0</v>
      </c>
      <c r="Q5" s="12">
        <f>'TUSD BE'!$Q$5*'TUSD BE'!$Q$58</f>
        <v>0</v>
      </c>
      <c r="R5" s="12">
        <f>'TUSD BE'!$R$5*'TUSD BE'!$R$58</f>
        <v>0</v>
      </c>
      <c r="S5" s="12">
        <f>'TUSD BE'!$R$5*'TUSD BE'!$S$58</f>
        <v>0</v>
      </c>
      <c r="T5" s="12">
        <f ca="1">SUM($L$5:$S$5)</f>
        <v>0</v>
      </c>
      <c r="U5" s="12">
        <f>'TUSD BE'!$U$5*'TUSD BE'!$U$58</f>
        <v>0</v>
      </c>
      <c r="V5" s="12">
        <f>'TUSD BE'!$V$5*'TUSD BE'!$V$58</f>
        <v>0</v>
      </c>
      <c r="W5" s="12">
        <f>'TUSD BE'!$W$5*'TUSD BE'!$W$58</f>
        <v>0</v>
      </c>
      <c r="X5" s="12">
        <f>'TUSD BE'!$X$5*'TUSD BE'!$X$58</f>
        <v>0</v>
      </c>
      <c r="Y5" s="12">
        <f>'TUSD BE'!$Y$5*'TUSD BE'!$Y$58</f>
        <v>0.34866282871071996</v>
      </c>
      <c r="Z5" s="12">
        <f>'TUSD BE'!$Z$5*'TUSD BE'!$Z$58</f>
        <v>0</v>
      </c>
      <c r="AA5" s="12">
        <f>'TUSD BE'!$AA$5*'TUSD BE'!$AA$58</f>
        <v>0</v>
      </c>
      <c r="AB5" s="12">
        <f>SUM($U$5:$AA$5)</f>
        <v>0.34866282871071996</v>
      </c>
      <c r="AC5" s="12">
        <f>'TUSD BE'!$AC$5*'TUSD BE'!$AC$58</f>
        <v>0</v>
      </c>
      <c r="AD5" s="12">
        <f>SUM($AC$5:$AC$5)</f>
        <v>0</v>
      </c>
      <c r="AE5" s="12">
        <f ca="1">$AO$5*$AO$55</f>
        <v>-1.0377459263841506</v>
      </c>
      <c r="AF5" s="12">
        <f ca="1">$AP$5*$AP$55</f>
        <v>0</v>
      </c>
      <c r="AG5" s="12">
        <f ca="1">SUM($AE$5:$AF$5)</f>
        <v>-1.0377459263841506</v>
      </c>
      <c r="AH5" s="12">
        <f>'TUSD BE'!$AH$5*'TUSD BE'!$AH$58</f>
        <v>0</v>
      </c>
      <c r="AI5" s="12">
        <f>'TUSD BE'!$AI$5*'TUSD BE'!$AI$58</f>
        <v>0</v>
      </c>
      <c r="AJ5" s="12">
        <f ca="1">'TUSD BE'!$AJ$5*'TUSD BE'!$AJ$58</f>
        <v>0</v>
      </c>
      <c r="AK5" s="12">
        <f ca="1">'TUSD BE'!$AK$5*'TUSD BE'!$AK$58</f>
        <v>0</v>
      </c>
      <c r="AL5" s="12">
        <f ca="1">SUM($AH$5:$AK$5)</f>
        <v>0</v>
      </c>
      <c r="AM5" s="12">
        <f ca="1">SUMIF($L$4:$AL$4,"SUBTOTAL",$L$5:$AL$5)</f>
        <v>-0.68908309767343068</v>
      </c>
      <c r="AO5" s="20">
        <f ca="1">+'TUSD BE'!$T$5+'TUSD BE'!$AB$5+'TUSD BE'!$AD$5+'TUSD BE'!$AL$5</f>
        <v>41.621203464407124</v>
      </c>
      <c r="AP5" s="20">
        <f ca="1">+'TUSD BE'!$T$5+'TUSD BE'!$AB$5+'TUSD BE'!$AD$5+'TUSD BE'!$AL$5</f>
        <v>41.621203464407124</v>
      </c>
    </row>
    <row r="6" spans="1:42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>
        <f>'TUSD BE'!$L$6*'TUSD BE'!$L$58</f>
        <v>0</v>
      </c>
      <c r="M6" s="12">
        <f>'TUSD BE'!$M$6*'TUSD BE'!$M$58</f>
        <v>0</v>
      </c>
      <c r="N6" s="12">
        <f ca="1">'TUSD BE'!$N$6*'TUSD BE'!$N$58</f>
        <v>0</v>
      </c>
      <c r="O6" s="12">
        <f>'TUSD BE'!$O$6*'TUSD BE'!$O$58</f>
        <v>0</v>
      </c>
      <c r="P6" s="12">
        <f>'TUSD BE'!$P$6*'TUSD BE'!$P$58</f>
        <v>0</v>
      </c>
      <c r="Q6" s="12">
        <f>'TUSD BE'!$Q$6*'TUSD BE'!$Q$58</f>
        <v>0</v>
      </c>
      <c r="R6" s="12">
        <f>'TUSD BE'!$R$6*'TUSD BE'!$R$58</f>
        <v>0</v>
      </c>
      <c r="S6" s="12">
        <f>'TUSD BE'!$R$6*'TUSD BE'!$S$58</f>
        <v>0</v>
      </c>
      <c r="T6" s="12">
        <f ca="1">SUM($L$6:$S$6)</f>
        <v>0</v>
      </c>
      <c r="U6" s="12">
        <f>'TUSD BE'!$U$6*'TUSD BE'!$U$58</f>
        <v>0</v>
      </c>
      <c r="V6" s="12">
        <f>'TUSD BE'!$V$6*'TUSD BE'!$V$58</f>
        <v>0</v>
      </c>
      <c r="W6" s="12">
        <f>'TUSD BE'!$W$6*'TUSD BE'!$W$58</f>
        <v>0</v>
      </c>
      <c r="X6" s="12">
        <f>'TUSD BE'!$X$6*'TUSD BE'!$X$58</f>
        <v>0</v>
      </c>
      <c r="Y6" s="12">
        <f>'TUSD BE'!$Y$6*'TUSD BE'!$Y$58</f>
        <v>0.20069872078502529</v>
      </c>
      <c r="Z6" s="12">
        <f>'TUSD BE'!$Z$6*'TUSD BE'!$Z$58</f>
        <v>0</v>
      </c>
      <c r="AA6" s="12">
        <f>'TUSD BE'!$AA$6*'TUSD BE'!$AA$58</f>
        <v>0</v>
      </c>
      <c r="AB6" s="12">
        <f>SUM($U$6:$AA$6)</f>
        <v>0.20069872078502529</v>
      </c>
      <c r="AC6" s="12">
        <f>'TUSD BE'!$AC$6*'TUSD BE'!$AC$58</f>
        <v>0</v>
      </c>
      <c r="AD6" s="12">
        <f>SUM($AC$6:$AC$6)</f>
        <v>0</v>
      </c>
      <c r="AE6" s="12">
        <f ca="1">$AO$6*$AO$55</f>
        <v>-0.37299543253083989</v>
      </c>
      <c r="AF6" s="12">
        <f ca="1">$AP$6*$AP$55</f>
        <v>0</v>
      </c>
      <c r="AG6" s="12">
        <f ca="1">SUM($AE$6:$AF$6)</f>
        <v>-0.37299543253083989</v>
      </c>
      <c r="AH6" s="12">
        <f>'TUSD BE'!$AH$6*'TUSD BE'!$AH$58</f>
        <v>0</v>
      </c>
      <c r="AI6" s="12">
        <f>'TUSD BE'!$AI$6*'TUSD BE'!$AI$58</f>
        <v>0</v>
      </c>
      <c r="AJ6" s="12">
        <f ca="1">'TUSD BE'!$AJ$6*'TUSD BE'!$AJ$58</f>
        <v>0</v>
      </c>
      <c r="AK6" s="12">
        <f ca="1">'TUSD BE'!$AK$6*'TUSD BE'!$AK$58</f>
        <v>0</v>
      </c>
      <c r="AL6" s="12">
        <f ca="1">SUM($AH$6:$AK$6)</f>
        <v>0</v>
      </c>
      <c r="AM6" s="12">
        <f ca="1">SUMIF($L$4:$AL$4,"SUBTOTAL",$L$6:$AL$6)</f>
        <v>-0.1722967117458146</v>
      </c>
      <c r="AO6" s="20">
        <f ca="1">+'TUSD BE'!$T$6+'TUSD BE'!$AB$6+'TUSD BE'!$AD$6+'TUSD BE'!$AL$6</f>
        <v>14.959845559455172</v>
      </c>
      <c r="AP6" s="20">
        <f ca="1">+'TUSD BE'!$T$6+'TUSD BE'!$AB$6+'TUSD BE'!$AD$6+'TUSD BE'!$AL$6</f>
        <v>14.959845559455172</v>
      </c>
    </row>
    <row r="7" spans="1:42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>
        <f>'TUSD BE'!$L$7*'TUSD BE'!$L$58</f>
        <v>0</v>
      </c>
      <c r="M7" s="12">
        <f>'TUSD BE'!$M$7*'TUSD BE'!$M$58</f>
        <v>-4.3816161688848354E-3</v>
      </c>
      <c r="N7" s="12">
        <f ca="1">'TUSD BE'!$N$7*'TUSD BE'!$N$58</f>
        <v>0</v>
      </c>
      <c r="O7" s="12">
        <f>'TUSD BE'!$O$7*'TUSD BE'!$O$58</f>
        <v>0</v>
      </c>
      <c r="P7" s="12">
        <f>'TUSD BE'!$P$7*'TUSD BE'!$P$58</f>
        <v>0</v>
      </c>
      <c r="Q7" s="12">
        <f>'TUSD BE'!$Q$7*'TUSD BE'!$Q$58</f>
        <v>-0.84832930226271208</v>
      </c>
      <c r="R7" s="12">
        <f>'TUSD BE'!$R$7*'TUSD BE'!$R$58</f>
        <v>-0.15408151593683103</v>
      </c>
      <c r="S7" s="12">
        <f>'TUSD BE'!$R$7*'TUSD BE'!$S$58</f>
        <v>0</v>
      </c>
      <c r="T7" s="12">
        <f ca="1">SUM($L$7:$S$7)</f>
        <v>-1.006792434368428</v>
      </c>
      <c r="U7" s="12">
        <f>'TUSD BE'!$U$7*'TUSD BE'!$U$58</f>
        <v>0</v>
      </c>
      <c r="V7" s="12">
        <f>'TUSD BE'!$V$7*'TUSD BE'!$V$58</f>
        <v>0</v>
      </c>
      <c r="W7" s="12">
        <f>'TUSD BE'!$W$7*'TUSD BE'!$W$58</f>
        <v>0</v>
      </c>
      <c r="X7" s="12">
        <f>'TUSD BE'!$X$7*'TUSD BE'!$X$58</f>
        <v>0</v>
      </c>
      <c r="Y7" s="12">
        <f>'TUSD BE'!$Y$7*'TUSD BE'!$Y$58</f>
        <v>0</v>
      </c>
      <c r="Z7" s="12">
        <f>'TUSD BE'!$Z$7*'TUSD BE'!$Z$58</f>
        <v>0</v>
      </c>
      <c r="AA7" s="12">
        <f>'TUSD BE'!$AA$7*'TUSD BE'!$AA$58</f>
        <v>0</v>
      </c>
      <c r="AB7" s="12">
        <f>SUM($U$7:$AA$7)</f>
        <v>0</v>
      </c>
      <c r="AC7" s="12">
        <f>'TUSD BE'!$AC$7*'TUSD BE'!$AC$58</f>
        <v>0</v>
      </c>
      <c r="AD7" s="12">
        <f>SUM($AC$7:$AC$7)</f>
        <v>0</v>
      </c>
      <c r="AE7" s="12">
        <f ca="1">$AO$7*$AO$55</f>
        <v>-2.4107379531839954</v>
      </c>
      <c r="AF7" s="12">
        <f ca="1">$AP$7*$AP$55</f>
        <v>0</v>
      </c>
      <c r="AG7" s="12">
        <f ca="1">SUM($AE$7:$AF$7)</f>
        <v>-2.4107379531839954</v>
      </c>
      <c r="AH7" s="12">
        <f>'TUSD BE'!$AH$7*'TUSD BE'!$AH$58</f>
        <v>5.5474489022275558E-2</v>
      </c>
      <c r="AI7" s="12">
        <f>'TUSD BE'!$AI$7*'TUSD BE'!$AI$58</f>
        <v>0</v>
      </c>
      <c r="AJ7" s="12">
        <f ca="1">'TUSD BE'!$AJ$7*'TUSD BE'!$AJ$58</f>
        <v>0</v>
      </c>
      <c r="AK7" s="12">
        <f ca="1">'TUSD BE'!$AK$7*'TUSD BE'!$AK$58</f>
        <v>0</v>
      </c>
      <c r="AL7" s="12">
        <f ca="1">SUM($AH$7:$AK$7)</f>
        <v>5.5474489022275558E-2</v>
      </c>
      <c r="AM7" s="12">
        <f ca="1">SUMIF($L$4:$AL$4,"SUBTOTAL",$L$7:$AL$7)</f>
        <v>-3.3620558985301479</v>
      </c>
      <c r="AO7" s="20">
        <f ca="1">+'TUSD BE'!$T$7+'TUSD BE'!$AB$7+'TUSD BE'!$AD$7+'TUSD BE'!$AL$7</f>
        <v>96.688228108444164</v>
      </c>
      <c r="AP7" s="20">
        <f ca="1">+'TUSD BE'!$T$7+'TUSD BE'!$AB$7+'TUSD BE'!$AD$7+'TUSD BE'!$AL$7</f>
        <v>96.688228108444164</v>
      </c>
    </row>
    <row r="8" spans="1:42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>
        <f>'TUSD BE'!$L$8*'TUSD BE'!$L$58</f>
        <v>0</v>
      </c>
      <c r="M8" s="12">
        <f>'TUSD BE'!$M$8*'TUSD BE'!$M$58</f>
        <v>-4.3816161688848354E-3</v>
      </c>
      <c r="N8" s="12">
        <f ca="1">'TUSD BE'!$N$8*'TUSD BE'!$N$58</f>
        <v>0</v>
      </c>
      <c r="O8" s="12">
        <f>'TUSD BE'!$O$8*'TUSD BE'!$O$58</f>
        <v>0</v>
      </c>
      <c r="P8" s="12">
        <f>'TUSD BE'!$P$8*'TUSD BE'!$P$58</f>
        <v>0</v>
      </c>
      <c r="Q8" s="12">
        <f>'TUSD BE'!$Q$8*'TUSD BE'!$Q$58</f>
        <v>0</v>
      </c>
      <c r="R8" s="12">
        <f>'TUSD BE'!$R$8*'TUSD BE'!$R$58</f>
        <v>0</v>
      </c>
      <c r="S8" s="12">
        <f>'TUSD BE'!$R$8*'TUSD BE'!$S$58</f>
        <v>0</v>
      </c>
      <c r="T8" s="12">
        <f ca="1">SUM($L$8:$S$8)</f>
        <v>-4.3816161688848354E-3</v>
      </c>
      <c r="U8" s="12">
        <f>'TUSD BE'!$U$8*'TUSD BE'!$U$58</f>
        <v>0</v>
      </c>
      <c r="V8" s="12">
        <f>'TUSD BE'!$V$8*'TUSD BE'!$V$58</f>
        <v>0</v>
      </c>
      <c r="W8" s="12">
        <f>'TUSD BE'!$W$8*'TUSD BE'!$W$58</f>
        <v>0</v>
      </c>
      <c r="X8" s="12">
        <f>'TUSD BE'!$X$8*'TUSD BE'!$X$58</f>
        <v>0</v>
      </c>
      <c r="Y8" s="12">
        <f>'TUSD BE'!$Y$8*'TUSD BE'!$Y$58</f>
        <v>0</v>
      </c>
      <c r="Z8" s="12">
        <f>'TUSD BE'!$Z$8*'TUSD BE'!$Z$58</f>
        <v>0</v>
      </c>
      <c r="AA8" s="12">
        <f>'TUSD BE'!$AA$8*'TUSD BE'!$AA$58</f>
        <v>0</v>
      </c>
      <c r="AB8" s="12">
        <f>SUM($U$8:$AA$8)</f>
        <v>0</v>
      </c>
      <c r="AC8" s="12">
        <f>'TUSD BE'!$AC$8*'TUSD BE'!$AC$58</f>
        <v>0</v>
      </c>
      <c r="AD8" s="12">
        <f>SUM($AC$8:$AC$8)</f>
        <v>0</v>
      </c>
      <c r="AE8" s="12">
        <f ca="1">$AO$8*$AO$55</f>
        <v>-0.17712128232447466</v>
      </c>
      <c r="AF8" s="12">
        <f ca="1">$AP$8*$AP$55</f>
        <v>0</v>
      </c>
      <c r="AG8" s="12">
        <f ca="1">SUM($AE$8:$AF$8)</f>
        <v>-0.17712128232447466</v>
      </c>
      <c r="AH8" s="12">
        <f>'TUSD BE'!$AH$8*'TUSD BE'!$AH$58</f>
        <v>5.5474489022275558E-2</v>
      </c>
      <c r="AI8" s="12">
        <f>'TUSD BE'!$AI$8*'TUSD BE'!$AI$58</f>
        <v>0</v>
      </c>
      <c r="AJ8" s="12">
        <f ca="1">'TUSD BE'!$AJ$8*'TUSD BE'!$AJ$58</f>
        <v>0</v>
      </c>
      <c r="AK8" s="12">
        <f ca="1">'TUSD BE'!$AK$8*'TUSD BE'!$AK$58</f>
        <v>0</v>
      </c>
      <c r="AL8" s="12">
        <f ca="1">SUM($AH$8:$AK$8)</f>
        <v>5.5474489022275558E-2</v>
      </c>
      <c r="AM8" s="12">
        <f ca="1">SUMIF($L$4:$AL$4,"SUBTOTAL",$L$8:$AL$8)</f>
        <v>-0.12602840947108393</v>
      </c>
      <c r="AO8" s="20">
        <f ca="1">+'TUSD BE'!$T$8+'TUSD BE'!$AB$8+'TUSD BE'!$AD$8+'TUSD BE'!$AL$8</f>
        <v>7.1038591837118963</v>
      </c>
      <c r="AP8" s="20">
        <f ca="1">+'TUSD BE'!$T$8+'TUSD BE'!$AB$8+'TUSD BE'!$AD$8+'TUSD BE'!$AL$8</f>
        <v>7.1038591837118963</v>
      </c>
    </row>
    <row r="9" spans="1:42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>
        <f>'TUSD BE'!$L$9*'TUSD BE'!$L$58</f>
        <v>0</v>
      </c>
      <c r="M9" s="12">
        <f>'TUSD BE'!$M$9*'TUSD BE'!$M$58</f>
        <v>-1.5230667601125276E-4</v>
      </c>
      <c r="N9" s="12">
        <f ca="1">'TUSD BE'!$N$9*'TUSD BE'!$N$58</f>
        <v>0</v>
      </c>
      <c r="O9" s="12">
        <f>'TUSD BE'!$O$9*'TUSD BE'!$O$58</f>
        <v>0</v>
      </c>
      <c r="P9" s="12">
        <f>'TUSD BE'!$P$9*'TUSD BE'!$P$58</f>
        <v>0</v>
      </c>
      <c r="Q9" s="12">
        <f>'TUSD BE'!$Q$9*'TUSD BE'!$Q$58</f>
        <v>0</v>
      </c>
      <c r="R9" s="12">
        <f>'TUSD BE'!$R$9*'TUSD BE'!$R$58</f>
        <v>0</v>
      </c>
      <c r="S9" s="12">
        <f>'TUSD BE'!$R$9*'TUSD BE'!$S$58</f>
        <v>0</v>
      </c>
      <c r="T9" s="12">
        <f ca="1">SUM($L$9:$S$9)</f>
        <v>-1.5230667601125276E-4</v>
      </c>
      <c r="U9" s="12">
        <f>'TUSD BE'!$U$9*'TUSD BE'!$U$58</f>
        <v>0</v>
      </c>
      <c r="V9" s="12">
        <f>'TUSD BE'!$V$9*'TUSD BE'!$V$58</f>
        <v>0</v>
      </c>
      <c r="W9" s="12">
        <f>'TUSD BE'!$W$9*'TUSD BE'!$W$58</f>
        <v>0</v>
      </c>
      <c r="X9" s="12">
        <f>'TUSD BE'!$X$9*'TUSD BE'!$X$58</f>
        <v>0</v>
      </c>
      <c r="Y9" s="12">
        <f>'TUSD BE'!$Y$9*'TUSD BE'!$Y$58</f>
        <v>0</v>
      </c>
      <c r="Z9" s="12">
        <f>'TUSD BE'!$Z$9*'TUSD BE'!$Z$58</f>
        <v>0</v>
      </c>
      <c r="AA9" s="12">
        <f>'TUSD BE'!$AA$9*'TUSD BE'!$AA$58</f>
        <v>0</v>
      </c>
      <c r="AB9" s="12">
        <f>SUM($U$9:$AA$9)</f>
        <v>0</v>
      </c>
      <c r="AC9" s="12">
        <f>'TUSD BE'!$AC$9*'TUSD BE'!$AC$58</f>
        <v>0</v>
      </c>
      <c r="AD9" s="12">
        <f>SUM($AC$9:$AC$9)</f>
        <v>0</v>
      </c>
      <c r="AE9" s="12">
        <f ca="1">$AO$9*$AO$55</f>
        <v>-0.1138126438177256</v>
      </c>
      <c r="AF9" s="12">
        <f ca="1">$AP$9*$AP$55</f>
        <v>0</v>
      </c>
      <c r="AG9" s="12">
        <f ca="1">SUM($AE$9:$AF$9)</f>
        <v>-0.1138126438177256</v>
      </c>
      <c r="AH9" s="12">
        <f>'TUSD BE'!$AH$9*'TUSD BE'!$AH$58</f>
        <v>2.5848976758900124E-6</v>
      </c>
      <c r="AI9" s="12">
        <f>'TUSD BE'!$AI$9*'TUSD BE'!$AI$58</f>
        <v>0</v>
      </c>
      <c r="AJ9" s="12">
        <f ca="1">'TUSD BE'!$AJ$9*'TUSD BE'!$AJ$58</f>
        <v>0</v>
      </c>
      <c r="AK9" s="12">
        <f ca="1">'TUSD BE'!$AK$9*'TUSD BE'!$AK$58</f>
        <v>0</v>
      </c>
      <c r="AL9" s="12">
        <f ca="1">SUM($AH$9:$AK$9)</f>
        <v>2.5848976758900124E-6</v>
      </c>
      <c r="AM9" s="12">
        <f ca="1">SUMIF($L$4:$AL$4,"SUBTOTAL",$L$9:$AL$9)</f>
        <v>-0.11396236559606096</v>
      </c>
      <c r="AO9" s="20">
        <f ca="1">+'TUSD BE'!$T$9+'TUSD BE'!$AB$9+'TUSD BE'!$AD$9+'TUSD BE'!$AL$9</f>
        <v>4.5647196338943905</v>
      </c>
      <c r="AP9" s="20">
        <f ca="1">+'TUSD BE'!$T$9+'TUSD BE'!$AB$9+'TUSD BE'!$AD$9+'TUSD BE'!$AL$9</f>
        <v>4.5647196338943905</v>
      </c>
    </row>
    <row r="10" spans="1:42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>
        <f>'TUSD BE'!$L$10*'TUSD BE'!$L$58</f>
        <v>0</v>
      </c>
      <c r="M10" s="12">
        <f>'TUSD BE'!$M$10*'TUSD BE'!$M$58</f>
        <v>0</v>
      </c>
      <c r="N10" s="12">
        <f ca="1">'TUSD BE'!$N$10*'TUSD BE'!$N$58</f>
        <v>0</v>
      </c>
      <c r="O10" s="12">
        <f>'TUSD BE'!$O$10*'TUSD BE'!$O$58</f>
        <v>0</v>
      </c>
      <c r="P10" s="12">
        <f>'TUSD BE'!$P$10*'TUSD BE'!$P$58</f>
        <v>0</v>
      </c>
      <c r="Q10" s="12">
        <f>'TUSD BE'!$Q$10*'TUSD BE'!$Q$58</f>
        <v>0</v>
      </c>
      <c r="R10" s="12">
        <f>'TUSD BE'!$R$10*'TUSD BE'!$R$58</f>
        <v>0</v>
      </c>
      <c r="S10" s="12">
        <f>'TUSD BE'!$R$10*'TUSD BE'!$S$58</f>
        <v>0</v>
      </c>
      <c r="T10" s="12">
        <f ca="1">SUM($L$10:$S$10)</f>
        <v>0</v>
      </c>
      <c r="U10" s="12">
        <f>'TUSD BE'!$U$10*'TUSD BE'!$U$58</f>
        <v>0</v>
      </c>
      <c r="V10" s="12">
        <f>'TUSD BE'!$V$10*'TUSD BE'!$V$58</f>
        <v>0</v>
      </c>
      <c r="W10" s="12">
        <f>'TUSD BE'!$W$10*'TUSD BE'!$W$58</f>
        <v>0</v>
      </c>
      <c r="X10" s="12">
        <f>'TUSD BE'!$X$10*'TUSD BE'!$X$58</f>
        <v>0</v>
      </c>
      <c r="Y10" s="12">
        <f>'TUSD BE'!$Y$10*'TUSD BE'!$Y$58</f>
        <v>0.20069872078502529</v>
      </c>
      <c r="Z10" s="12">
        <f>'TUSD BE'!$Z$10*'TUSD BE'!$Z$58</f>
        <v>0</v>
      </c>
      <c r="AA10" s="12">
        <f>'TUSD BE'!$AA$10*'TUSD BE'!$AA$58</f>
        <v>0</v>
      </c>
      <c r="AB10" s="12">
        <f>SUM($U$10:$AA$10)</f>
        <v>0.20069872078502529</v>
      </c>
      <c r="AC10" s="12">
        <f>'TUSD BE'!$AC$10*'TUSD BE'!$AC$58</f>
        <v>0</v>
      </c>
      <c r="AD10" s="12">
        <f>SUM($AC$10:$AC$10)</f>
        <v>0</v>
      </c>
      <c r="AE10" s="12">
        <f ca="1">$AO$10*$AO$55</f>
        <v>-0.37299543253083989</v>
      </c>
      <c r="AF10" s="12">
        <f ca="1">$AP$10*$AP$55</f>
        <v>0</v>
      </c>
      <c r="AG10" s="12">
        <f ca="1">SUM($AE$10:$AF$10)</f>
        <v>-0.37299543253083989</v>
      </c>
      <c r="AH10" s="12">
        <f>'TUSD BE'!$AH$10*'TUSD BE'!$AH$58</f>
        <v>0</v>
      </c>
      <c r="AI10" s="12">
        <f>'TUSD BE'!$AI$10*'TUSD BE'!$AI$58</f>
        <v>0</v>
      </c>
      <c r="AJ10" s="12">
        <f ca="1">'TUSD BE'!$AJ$10*'TUSD BE'!$AJ$58</f>
        <v>0</v>
      </c>
      <c r="AK10" s="12">
        <f ca="1">'TUSD BE'!$AK$10*'TUSD BE'!$AK$58</f>
        <v>0</v>
      </c>
      <c r="AL10" s="12">
        <f ca="1">SUM($AH$10:$AK$10)</f>
        <v>0</v>
      </c>
      <c r="AM10" s="12">
        <f ca="1">SUMIF($L$4:$AL$4,"SUBTOTAL",$L$10:$AL$10)</f>
        <v>-0.1722967117458146</v>
      </c>
      <c r="AO10" s="20">
        <f ca="1">+'TUSD BE'!$T$10+'TUSD BE'!$AB$10+'TUSD BE'!$AD$10+'TUSD BE'!$AL$10</f>
        <v>14.959845559455172</v>
      </c>
      <c r="AP10" s="20">
        <f ca="1">+'TUSD BE'!$T$10+'TUSD BE'!$AB$10+'TUSD BE'!$AD$10+'TUSD BE'!$AL$10</f>
        <v>14.959845559455172</v>
      </c>
    </row>
    <row r="11" spans="1:42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>
        <f>'TUSD BE'!$L$11*'TUSD BE'!$L$58</f>
        <v>0</v>
      </c>
      <c r="M11" s="12">
        <f>'TUSD BE'!$M$11*'TUSD BE'!$M$58</f>
        <v>-4.3816161688848354E-3</v>
      </c>
      <c r="N11" s="12">
        <f ca="1">'TUSD BE'!$N$11*'TUSD BE'!$N$58</f>
        <v>0</v>
      </c>
      <c r="O11" s="12">
        <f>'TUSD BE'!$O$11*'TUSD BE'!$O$58</f>
        <v>0</v>
      </c>
      <c r="P11" s="12">
        <f>'TUSD BE'!$P$11*'TUSD BE'!$P$58</f>
        <v>0</v>
      </c>
      <c r="Q11" s="12">
        <f>'TUSD BE'!$Q$11*'TUSD BE'!$Q$58</f>
        <v>-0.84832930226271208</v>
      </c>
      <c r="R11" s="12">
        <f>'TUSD BE'!$R$11*'TUSD BE'!$R$58</f>
        <v>-0.15408151593683103</v>
      </c>
      <c r="S11" s="12">
        <f>'TUSD BE'!$R$11*'TUSD BE'!$S$58</f>
        <v>0</v>
      </c>
      <c r="T11" s="12">
        <f ca="1">SUM($L$11:$S$11)</f>
        <v>-1.006792434368428</v>
      </c>
      <c r="U11" s="12">
        <f>'TUSD BE'!$U$11*'TUSD BE'!$U$58</f>
        <v>0</v>
      </c>
      <c r="V11" s="12">
        <f>'TUSD BE'!$V$11*'TUSD BE'!$V$58</f>
        <v>0</v>
      </c>
      <c r="W11" s="12">
        <f>'TUSD BE'!$W$11*'TUSD BE'!$W$58</f>
        <v>0</v>
      </c>
      <c r="X11" s="12">
        <f>'TUSD BE'!$X$11*'TUSD BE'!$X$58</f>
        <v>0</v>
      </c>
      <c r="Y11" s="12">
        <f>'TUSD BE'!$Y$11*'TUSD BE'!$Y$58</f>
        <v>8.3899233099597179</v>
      </c>
      <c r="Z11" s="12">
        <f>'TUSD BE'!$Z$11*'TUSD BE'!$Z$58</f>
        <v>0</v>
      </c>
      <c r="AA11" s="12">
        <f>'TUSD BE'!$AA$11*'TUSD BE'!$AA$58</f>
        <v>0</v>
      </c>
      <c r="AB11" s="12">
        <f>SUM($U$11:$AA$11)</f>
        <v>8.3899233099597179</v>
      </c>
      <c r="AC11" s="12">
        <f>'TUSD BE'!$AC$11*'TUSD BE'!$AC$58</f>
        <v>0</v>
      </c>
      <c r="AD11" s="12">
        <f>SUM($AC$11:$AC$11)</f>
        <v>0</v>
      </c>
      <c r="AE11" s="12">
        <f ca="1">$AO$11*$AO$55</f>
        <v>-27.372387550088686</v>
      </c>
      <c r="AF11" s="12">
        <f ca="1">$AP$11*$AP$55</f>
        <v>0</v>
      </c>
      <c r="AG11" s="12">
        <f ca="1">SUM($AE$11:$AF$11)</f>
        <v>-27.372387550088686</v>
      </c>
      <c r="AH11" s="12">
        <f>'TUSD BE'!$AH$11*'TUSD BE'!$AH$58</f>
        <v>5.5474489022275558E-2</v>
      </c>
      <c r="AI11" s="12">
        <f>'TUSD BE'!$AI$11*'TUSD BE'!$AI$58</f>
        <v>0</v>
      </c>
      <c r="AJ11" s="12">
        <f ca="1">'TUSD BE'!$AJ$11*'TUSD BE'!$AJ$58</f>
        <v>0</v>
      </c>
      <c r="AK11" s="12">
        <f ca="1">'TUSD BE'!$AK$11*'TUSD BE'!$AK$58</f>
        <v>0</v>
      </c>
      <c r="AL11" s="12">
        <f ca="1">SUM($AH$11:$AK$11)</f>
        <v>5.5474489022275558E-2</v>
      </c>
      <c r="AM11" s="12">
        <f ca="1">SUMIF($L$4:$AL$4,"SUBTOTAL",$L$11:$AL$11)</f>
        <v>-19.93378218547512</v>
      </c>
      <c r="AO11" s="20">
        <f ca="1">+'TUSD BE'!$T$11+'TUSD BE'!$AB$11+'TUSD BE'!$AD$11+'TUSD BE'!$AL$11</f>
        <v>1097.8329883678218</v>
      </c>
      <c r="AP11" s="20">
        <f ca="1">+'TUSD BE'!$T$11+'TUSD BE'!$AB$11+'TUSD BE'!$AD$11+'TUSD BE'!$AL$11</f>
        <v>1097.8329883678218</v>
      </c>
    </row>
    <row r="12" spans="1:42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>
        <f>'TUSD BE'!$L$12*'TUSD BE'!$L$58</f>
        <v>0</v>
      </c>
      <c r="M12" s="12">
        <f>'TUSD BE'!$M$12*'TUSD BE'!$M$58</f>
        <v>-4.3816161688848354E-3</v>
      </c>
      <c r="N12" s="12">
        <f ca="1">'TUSD BE'!$N$12*'TUSD BE'!$N$58</f>
        <v>0</v>
      </c>
      <c r="O12" s="12">
        <f>'TUSD BE'!$O$12*'TUSD BE'!$O$58</f>
        <v>0</v>
      </c>
      <c r="P12" s="12">
        <f>'TUSD BE'!$P$12*'TUSD BE'!$P$58</f>
        <v>0</v>
      </c>
      <c r="Q12" s="12">
        <f>'TUSD BE'!$Q$12*'TUSD BE'!$Q$58</f>
        <v>-0.84832930226271208</v>
      </c>
      <c r="R12" s="12">
        <f>'TUSD BE'!$R$12*'TUSD BE'!$R$58</f>
        <v>-0.15408151593683103</v>
      </c>
      <c r="S12" s="12">
        <f>'TUSD BE'!$R$12*'TUSD BE'!$S$58</f>
        <v>0</v>
      </c>
      <c r="T12" s="12">
        <f ca="1">SUM($L$12:$S$12)</f>
        <v>-1.006792434368428</v>
      </c>
      <c r="U12" s="12">
        <f>'TUSD BE'!$U$12*'TUSD BE'!$U$58</f>
        <v>0</v>
      </c>
      <c r="V12" s="12">
        <f>'TUSD BE'!$V$12*'TUSD BE'!$V$58</f>
        <v>0</v>
      </c>
      <c r="W12" s="12">
        <f>'TUSD BE'!$W$12*'TUSD BE'!$W$58</f>
        <v>0</v>
      </c>
      <c r="X12" s="12">
        <f>'TUSD BE'!$X$12*'TUSD BE'!$X$58</f>
        <v>0</v>
      </c>
      <c r="Y12" s="12">
        <f>'TUSD BE'!$Y$12*'TUSD BE'!$Y$58</f>
        <v>0</v>
      </c>
      <c r="Z12" s="12">
        <f>'TUSD BE'!$Z$12*'TUSD BE'!$Z$58</f>
        <v>0</v>
      </c>
      <c r="AA12" s="12">
        <f>'TUSD BE'!$AA$12*'TUSD BE'!$AA$58</f>
        <v>0</v>
      </c>
      <c r="AB12" s="12">
        <f>SUM($U$12:$AA$12)</f>
        <v>0</v>
      </c>
      <c r="AC12" s="12">
        <f>'TUSD BE'!$AC$12*'TUSD BE'!$AC$58</f>
        <v>0</v>
      </c>
      <c r="AD12" s="12">
        <f>SUM($AC$12:$AC$12)</f>
        <v>0</v>
      </c>
      <c r="AE12" s="12">
        <f ca="1">$AO$12*$AO$55</f>
        <v>-2.4107379531839954</v>
      </c>
      <c r="AF12" s="12">
        <f ca="1">$AP$12*$AP$55</f>
        <v>0</v>
      </c>
      <c r="AG12" s="12">
        <f ca="1">SUM($AE$12:$AF$12)</f>
        <v>-2.4107379531839954</v>
      </c>
      <c r="AH12" s="12">
        <f>'TUSD BE'!$AH$12*'TUSD BE'!$AH$58</f>
        <v>5.5474489022275558E-2</v>
      </c>
      <c r="AI12" s="12">
        <f>'TUSD BE'!$AI$12*'TUSD BE'!$AI$58</f>
        <v>0</v>
      </c>
      <c r="AJ12" s="12">
        <f ca="1">'TUSD BE'!$AJ$12*'TUSD BE'!$AJ$58</f>
        <v>0</v>
      </c>
      <c r="AK12" s="12">
        <f ca="1">'TUSD BE'!$AK$12*'TUSD BE'!$AK$58</f>
        <v>0</v>
      </c>
      <c r="AL12" s="12">
        <f ca="1">SUM($AH$12:$AK$12)</f>
        <v>5.5474489022275558E-2</v>
      </c>
      <c r="AM12" s="12">
        <f ca="1">SUMIF($L$4:$AL$4,"SUBTOTAL",$L$12:$AL$12)</f>
        <v>-3.3620558985301479</v>
      </c>
      <c r="AO12" s="20">
        <f ca="1">+'TUSD BE'!$T$12+'TUSD BE'!$AB$12+'TUSD BE'!$AD$12+'TUSD BE'!$AL$12</f>
        <v>96.688228108444164</v>
      </c>
      <c r="AP12" s="20">
        <f ca="1">+'TUSD BE'!$T$12+'TUSD BE'!$AB$12+'TUSD BE'!$AD$12+'TUSD BE'!$AL$12</f>
        <v>96.688228108444164</v>
      </c>
    </row>
    <row r="13" spans="1:42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>
        <f>'TUSD BE'!$L$13*'TUSD BE'!$L$58</f>
        <v>0</v>
      </c>
      <c r="M13" s="12">
        <f>'TUSD BE'!$M$13*'TUSD BE'!$M$58</f>
        <v>-4.3816161688848354E-3</v>
      </c>
      <c r="N13" s="12">
        <f ca="1">'TUSD BE'!$N$13*'TUSD BE'!$N$58</f>
        <v>0</v>
      </c>
      <c r="O13" s="12">
        <f>'TUSD BE'!$O$13*'TUSD BE'!$O$58</f>
        <v>0</v>
      </c>
      <c r="P13" s="12">
        <f>'TUSD BE'!$P$13*'TUSD BE'!$P$58</f>
        <v>0</v>
      </c>
      <c r="Q13" s="12">
        <f>'TUSD BE'!$Q$13*'TUSD BE'!$Q$58</f>
        <v>0</v>
      </c>
      <c r="R13" s="12">
        <f>'TUSD BE'!$R$13*'TUSD BE'!$R$58</f>
        <v>0</v>
      </c>
      <c r="S13" s="12">
        <f>'TUSD BE'!$R$13*'TUSD BE'!$S$58</f>
        <v>0</v>
      </c>
      <c r="T13" s="12">
        <f ca="1">SUM($L$13:$S$13)</f>
        <v>-4.3816161688848354E-3</v>
      </c>
      <c r="U13" s="12">
        <f>'TUSD BE'!$U$13*'TUSD BE'!$U$58</f>
        <v>0</v>
      </c>
      <c r="V13" s="12">
        <f>'TUSD BE'!$V$13*'TUSD BE'!$V$58</f>
        <v>0</v>
      </c>
      <c r="W13" s="12">
        <f>'TUSD BE'!$W$13*'TUSD BE'!$W$58</f>
        <v>0</v>
      </c>
      <c r="X13" s="12">
        <f>'TUSD BE'!$X$13*'TUSD BE'!$X$58</f>
        <v>0</v>
      </c>
      <c r="Y13" s="12">
        <f>'TUSD BE'!$Y$13*'TUSD BE'!$Y$58</f>
        <v>8.3899233099597179</v>
      </c>
      <c r="Z13" s="12">
        <f>'TUSD BE'!$Z$13*'TUSD BE'!$Z$58</f>
        <v>0</v>
      </c>
      <c r="AA13" s="12">
        <f>'TUSD BE'!$AA$13*'TUSD BE'!$AA$58</f>
        <v>0</v>
      </c>
      <c r="AB13" s="12">
        <f>SUM($U$13:$AA$13)</f>
        <v>8.3899233099597179</v>
      </c>
      <c r="AC13" s="12">
        <f>'TUSD BE'!$AC$13*'TUSD BE'!$AC$58</f>
        <v>0</v>
      </c>
      <c r="AD13" s="12">
        <f>SUM($AC$13:$AC$13)</f>
        <v>0</v>
      </c>
      <c r="AE13" s="12">
        <f ca="1">$AO$13*$AO$55</f>
        <v>-25.138770879229163</v>
      </c>
      <c r="AF13" s="12">
        <f ca="1">$AP$13*$AP$55</f>
        <v>0</v>
      </c>
      <c r="AG13" s="12">
        <f ca="1">SUM($AE$13:$AF$13)</f>
        <v>-25.138770879229163</v>
      </c>
      <c r="AH13" s="12">
        <f>'TUSD BE'!$AH$13*'TUSD BE'!$AH$58</f>
        <v>5.5474489022275558E-2</v>
      </c>
      <c r="AI13" s="12">
        <f>'TUSD BE'!$AI$13*'TUSD BE'!$AI$58</f>
        <v>0</v>
      </c>
      <c r="AJ13" s="12">
        <f ca="1">'TUSD BE'!$AJ$13*'TUSD BE'!$AJ$58</f>
        <v>0</v>
      </c>
      <c r="AK13" s="12">
        <f ca="1">'TUSD BE'!$AK$13*'TUSD BE'!$AK$58</f>
        <v>0</v>
      </c>
      <c r="AL13" s="12">
        <f ca="1">SUM($AH$13:$AK$13)</f>
        <v>5.5474489022275558E-2</v>
      </c>
      <c r="AM13" s="12">
        <f ca="1">SUMIF($L$4:$AL$4,"SUBTOTAL",$L$13:$AL$13)</f>
        <v>-16.697754696416052</v>
      </c>
      <c r="AO13" s="20">
        <f ca="1">+'TUSD BE'!$T$13+'TUSD BE'!$AB$13+'TUSD BE'!$AD$13+'TUSD BE'!$AL$13</f>
        <v>1008.2486194430895</v>
      </c>
      <c r="AP13" s="20">
        <f ca="1">+'TUSD BE'!$T$13+'TUSD BE'!$AB$13+'TUSD BE'!$AD$13+'TUSD BE'!$AL$13</f>
        <v>1008.2486194430895</v>
      </c>
    </row>
    <row r="14" spans="1:42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>
        <f>'TUSD BE'!$L$14*'TUSD BE'!$L$58</f>
        <v>0</v>
      </c>
      <c r="M14" s="12">
        <f>'TUSD BE'!$M$14*'TUSD BE'!$M$58</f>
        <v>-4.3816161688848354E-3</v>
      </c>
      <c r="N14" s="12">
        <f ca="1">'TUSD BE'!$N$14*'TUSD BE'!$N$58</f>
        <v>0</v>
      </c>
      <c r="O14" s="12">
        <f>'TUSD BE'!$O$14*'TUSD BE'!$O$58</f>
        <v>0</v>
      </c>
      <c r="P14" s="12">
        <f>'TUSD BE'!$P$14*'TUSD BE'!$P$58</f>
        <v>0</v>
      </c>
      <c r="Q14" s="12">
        <f>'TUSD BE'!$Q$14*'TUSD BE'!$Q$58</f>
        <v>0</v>
      </c>
      <c r="R14" s="12">
        <f>'TUSD BE'!$R$14*'TUSD BE'!$R$58</f>
        <v>0</v>
      </c>
      <c r="S14" s="12">
        <f>'TUSD BE'!$R$14*'TUSD BE'!$S$58</f>
        <v>0</v>
      </c>
      <c r="T14" s="12">
        <f ca="1">SUM($L$14:$S$14)</f>
        <v>-4.3816161688848354E-3</v>
      </c>
      <c r="U14" s="12">
        <f>'TUSD BE'!$U$14*'TUSD BE'!$U$58</f>
        <v>0</v>
      </c>
      <c r="V14" s="12">
        <f>'TUSD BE'!$V$14*'TUSD BE'!$V$58</f>
        <v>0</v>
      </c>
      <c r="W14" s="12">
        <f>'TUSD BE'!$W$14*'TUSD BE'!$W$58</f>
        <v>0</v>
      </c>
      <c r="X14" s="12">
        <f>'TUSD BE'!$X$14*'TUSD BE'!$X$58</f>
        <v>0</v>
      </c>
      <c r="Y14" s="12">
        <f>'TUSD BE'!$Y$14*'TUSD BE'!$Y$58</f>
        <v>0</v>
      </c>
      <c r="Z14" s="12">
        <f>'TUSD BE'!$Z$14*'TUSD BE'!$Z$58</f>
        <v>0</v>
      </c>
      <c r="AA14" s="12">
        <f>'TUSD BE'!$AA$14*'TUSD BE'!$AA$58</f>
        <v>0</v>
      </c>
      <c r="AB14" s="12">
        <f>SUM($U$14:$AA$14)</f>
        <v>0</v>
      </c>
      <c r="AC14" s="12">
        <f>'TUSD BE'!$AC$14*'TUSD BE'!$AC$58</f>
        <v>0</v>
      </c>
      <c r="AD14" s="12">
        <f>SUM($AC$14:$AC$14)</f>
        <v>0</v>
      </c>
      <c r="AE14" s="12">
        <f ca="1">$AO$14*$AO$55</f>
        <v>-0.17712128232447466</v>
      </c>
      <c r="AF14" s="12">
        <f ca="1">$AP$14*$AP$55</f>
        <v>0</v>
      </c>
      <c r="AG14" s="12">
        <f ca="1">SUM($AE$14:$AF$14)</f>
        <v>-0.17712128232447466</v>
      </c>
      <c r="AH14" s="12">
        <f>'TUSD BE'!$AH$14*'TUSD BE'!$AH$58</f>
        <v>5.5474489022275558E-2</v>
      </c>
      <c r="AI14" s="12">
        <f>'TUSD BE'!$AI$14*'TUSD BE'!$AI$58</f>
        <v>0</v>
      </c>
      <c r="AJ14" s="12">
        <f ca="1">'TUSD BE'!$AJ$14*'TUSD BE'!$AJ$58</f>
        <v>0</v>
      </c>
      <c r="AK14" s="12">
        <f ca="1">'TUSD BE'!$AK$14*'TUSD BE'!$AK$58</f>
        <v>0</v>
      </c>
      <c r="AL14" s="12">
        <f ca="1">SUM($AH$14:$AK$14)</f>
        <v>5.5474489022275558E-2</v>
      </c>
      <c r="AM14" s="12">
        <f ca="1">SUMIF($L$4:$AL$4,"SUBTOTAL",$L$14:$AL$14)</f>
        <v>-0.12602840947108393</v>
      </c>
      <c r="AO14" s="20">
        <f ca="1">+'TUSD BE'!$T$14+'TUSD BE'!$AB$14+'TUSD BE'!$AD$14+'TUSD BE'!$AL$14</f>
        <v>7.1038591837118963</v>
      </c>
      <c r="AP14" s="20">
        <f ca="1">+'TUSD BE'!$T$14+'TUSD BE'!$AB$14+'TUSD BE'!$AD$14+'TUSD BE'!$AL$14</f>
        <v>7.1038591837118963</v>
      </c>
    </row>
    <row r="15" spans="1:42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>
        <f>'TUSD BE'!$L$15*'TUSD BE'!$L$58</f>
        <v>0</v>
      </c>
      <c r="M15" s="12">
        <f>'TUSD BE'!$M$15*'TUSD BE'!$M$58</f>
        <v>-8.7218352929520804E-5</v>
      </c>
      <c r="N15" s="12">
        <f ca="1">'TUSD BE'!$N$15*'TUSD BE'!$N$58</f>
        <v>0</v>
      </c>
      <c r="O15" s="12">
        <f>'TUSD BE'!$O$15*'TUSD BE'!$O$58</f>
        <v>0</v>
      </c>
      <c r="P15" s="12">
        <f>'TUSD BE'!$P$15*'TUSD BE'!$P$58</f>
        <v>0</v>
      </c>
      <c r="Q15" s="12">
        <f>'TUSD BE'!$Q$15*'TUSD BE'!$Q$58</f>
        <v>0</v>
      </c>
      <c r="R15" s="12">
        <f>'TUSD BE'!$R$15*'TUSD BE'!$R$58</f>
        <v>0</v>
      </c>
      <c r="S15" s="12">
        <f>'TUSD BE'!$R$15*'TUSD BE'!$S$58</f>
        <v>0</v>
      </c>
      <c r="T15" s="12">
        <f ca="1">SUM($L$15:$S$15)</f>
        <v>-8.7218352929520804E-5</v>
      </c>
      <c r="U15" s="12">
        <f>'TUSD BE'!$U$15*'TUSD BE'!$U$58</f>
        <v>0</v>
      </c>
      <c r="V15" s="12">
        <f>'TUSD BE'!$V$15*'TUSD BE'!$V$58</f>
        <v>0</v>
      </c>
      <c r="W15" s="12">
        <f>'TUSD BE'!$W$15*'TUSD BE'!$W$58</f>
        <v>0</v>
      </c>
      <c r="X15" s="12">
        <f>'TUSD BE'!$X$15*'TUSD BE'!$X$58</f>
        <v>0</v>
      </c>
      <c r="Y15" s="12">
        <f>'TUSD BE'!$Y$15*'TUSD BE'!$Y$58</f>
        <v>0</v>
      </c>
      <c r="Z15" s="12">
        <f>'TUSD BE'!$Z$15*'TUSD BE'!$Z$58</f>
        <v>0</v>
      </c>
      <c r="AA15" s="12">
        <f>'TUSD BE'!$AA$15*'TUSD BE'!$AA$58</f>
        <v>0</v>
      </c>
      <c r="AB15" s="12">
        <f>SUM($U$15:$AA$15)</f>
        <v>0</v>
      </c>
      <c r="AC15" s="12">
        <f>'TUSD BE'!$AC$15*'TUSD BE'!$AC$58</f>
        <v>0</v>
      </c>
      <c r="AD15" s="12">
        <f>SUM($AC$15:$AC$15)</f>
        <v>0</v>
      </c>
      <c r="AE15" s="12">
        <f ca="1">$AO$15*$AO$55</f>
        <v>-6.5371866422141309E-2</v>
      </c>
      <c r="AF15" s="12">
        <f ca="1">$AP$15*$AP$55</f>
        <v>0</v>
      </c>
      <c r="AG15" s="12">
        <f ca="1">SUM($AE$15:$AF$15)</f>
        <v>-6.5371866422141309E-2</v>
      </c>
      <c r="AH15" s="12">
        <f>'TUSD BE'!$AH$15*'TUSD BE'!$AH$58</f>
        <v>0</v>
      </c>
      <c r="AI15" s="12">
        <f>'TUSD BE'!$AI$15*'TUSD BE'!$AI$58</f>
        <v>0</v>
      </c>
      <c r="AJ15" s="12">
        <f ca="1">'TUSD BE'!$AJ$15*'TUSD BE'!$AJ$58</f>
        <v>0</v>
      </c>
      <c r="AK15" s="12">
        <f ca="1">'TUSD BE'!$AK$15*'TUSD BE'!$AK$58</f>
        <v>0</v>
      </c>
      <c r="AL15" s="12">
        <f ca="1">SUM($AH$15:$AK$15)</f>
        <v>0</v>
      </c>
      <c r="AM15" s="12">
        <f ca="1">SUMIF($L$4:$AL$4,"SUBTOTAL",$L$15:$AL$15)</f>
        <v>-6.5459084775070828E-2</v>
      </c>
      <c r="AO15" s="20">
        <f ca="1">+'TUSD BE'!$T$15+'TUSD BE'!$AB$15+'TUSD BE'!$AD$15+'TUSD BE'!$AL$15</f>
        <v>2.6218900831385072</v>
      </c>
      <c r="AP15" s="20">
        <f ca="1">+'TUSD BE'!$T$15+'TUSD BE'!$AB$15+'TUSD BE'!$AD$15+'TUSD BE'!$AL$15</f>
        <v>2.6218900831385072</v>
      </c>
    </row>
    <row r="16" spans="1:42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>
        <f>'TUSD BE'!$L$16*'TUSD BE'!$L$58</f>
        <v>0</v>
      </c>
      <c r="M16" s="12">
        <f>'TUSD BE'!$M$16*'TUSD BE'!$M$58</f>
        <v>-8.7218352929520804E-5</v>
      </c>
      <c r="N16" s="12">
        <f ca="1">'TUSD BE'!$N$16*'TUSD BE'!$N$58</f>
        <v>0</v>
      </c>
      <c r="O16" s="12">
        <f>'TUSD BE'!$O$16*'TUSD BE'!$O$58</f>
        <v>0</v>
      </c>
      <c r="P16" s="12">
        <f>'TUSD BE'!$P$16*'TUSD BE'!$P$58</f>
        <v>0</v>
      </c>
      <c r="Q16" s="12">
        <f>'TUSD BE'!$Q$16*'TUSD BE'!$Q$58</f>
        <v>0</v>
      </c>
      <c r="R16" s="12">
        <f>'TUSD BE'!$R$16*'TUSD BE'!$R$58</f>
        <v>0</v>
      </c>
      <c r="S16" s="12">
        <f>'TUSD BE'!$R$16*'TUSD BE'!$S$58</f>
        <v>0</v>
      </c>
      <c r="T16" s="12">
        <f ca="1">SUM($L$16:$S$16)</f>
        <v>-8.7218352929520804E-5</v>
      </c>
      <c r="U16" s="12">
        <f>'TUSD BE'!$U$16*'TUSD BE'!$U$58</f>
        <v>0</v>
      </c>
      <c r="V16" s="12">
        <f>'TUSD BE'!$V$16*'TUSD BE'!$V$58</f>
        <v>0</v>
      </c>
      <c r="W16" s="12">
        <f>'TUSD BE'!$W$16*'TUSD BE'!$W$58</f>
        <v>0</v>
      </c>
      <c r="X16" s="12">
        <f>'TUSD BE'!$X$16*'TUSD BE'!$X$58</f>
        <v>0</v>
      </c>
      <c r="Y16" s="12">
        <f>'TUSD BE'!$Y$16*'TUSD BE'!$Y$58</f>
        <v>0</v>
      </c>
      <c r="Z16" s="12">
        <f>'TUSD BE'!$Z$16*'TUSD BE'!$Z$58</f>
        <v>0</v>
      </c>
      <c r="AA16" s="12">
        <f>'TUSD BE'!$AA$16*'TUSD BE'!$AA$58</f>
        <v>0</v>
      </c>
      <c r="AB16" s="12">
        <f>SUM($U$16:$AA$16)</f>
        <v>0</v>
      </c>
      <c r="AC16" s="12">
        <f>'TUSD BE'!$AC$16*'TUSD BE'!$AC$58</f>
        <v>0</v>
      </c>
      <c r="AD16" s="12">
        <f>SUM($AC$16:$AC$16)</f>
        <v>0</v>
      </c>
      <c r="AE16" s="12">
        <f ca="1">$AO$16*$AO$55</f>
        <v>-0.19424756043410382</v>
      </c>
      <c r="AF16" s="12">
        <f ca="1">$AP$16*$AP$55</f>
        <v>0</v>
      </c>
      <c r="AG16" s="12">
        <f ca="1">SUM($AE$16:$AF$16)</f>
        <v>-0.19424756043410382</v>
      </c>
      <c r="AH16" s="12">
        <f>'TUSD BE'!$AH$16*'TUSD BE'!$AH$58</f>
        <v>0</v>
      </c>
      <c r="AI16" s="12">
        <f>'TUSD BE'!$AI$16*'TUSD BE'!$AI$58</f>
        <v>0</v>
      </c>
      <c r="AJ16" s="12">
        <f ca="1">'TUSD BE'!$AJ$16*'TUSD BE'!$AJ$58</f>
        <v>0</v>
      </c>
      <c r="AK16" s="12">
        <f ca="1">'TUSD BE'!$AK$16*'TUSD BE'!$AK$58</f>
        <v>0</v>
      </c>
      <c r="AL16" s="12">
        <f ca="1">SUM($AH$16:$AK$16)</f>
        <v>0</v>
      </c>
      <c r="AM16" s="12">
        <f ca="1">SUMIF($L$4:$AL$4,"SUBTOTAL",$L$16:$AL$16)</f>
        <v>-0.19433477878703334</v>
      </c>
      <c r="AO16" s="20">
        <f ca="1">+'TUSD BE'!$T$16+'TUSD BE'!$AB$16+'TUSD BE'!$AD$16+'TUSD BE'!$AL$16</f>
        <v>7.7907482262664498</v>
      </c>
      <c r="AP16" s="20">
        <f ca="1">+'TUSD BE'!$T$16+'TUSD BE'!$AB$16+'TUSD BE'!$AD$16+'TUSD BE'!$AL$16</f>
        <v>7.7907482262664498</v>
      </c>
    </row>
    <row r="17" spans="1:42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>
        <f>'TUSD BE'!$L$17*'TUSD BE'!$L$58</f>
        <v>0</v>
      </c>
      <c r="M17" s="12">
        <f>'TUSD BE'!$M$17*'TUSD BE'!$M$58</f>
        <v>-7.7585644061510519E-3</v>
      </c>
      <c r="N17" s="12">
        <f ca="1">'TUSD BE'!$N$17*'TUSD BE'!$N$58</f>
        <v>0</v>
      </c>
      <c r="O17" s="12">
        <f>'TUSD BE'!$O$17*'TUSD BE'!$O$58</f>
        <v>0</v>
      </c>
      <c r="P17" s="12">
        <f>'TUSD BE'!$P$17*'TUSD BE'!$P$58</f>
        <v>0</v>
      </c>
      <c r="Q17" s="12">
        <f>'TUSD BE'!$Q$17*'TUSD BE'!$Q$58</f>
        <v>-1.0099158360270382</v>
      </c>
      <c r="R17" s="12">
        <f>'TUSD BE'!$R$17*'TUSD BE'!$R$58</f>
        <v>-0.15408151593683103</v>
      </c>
      <c r="S17" s="12">
        <f>'TUSD BE'!$R$17*'TUSD BE'!$S$58</f>
        <v>0</v>
      </c>
      <c r="T17" s="12">
        <f ca="1">SUM($L$17:$S$17)</f>
        <v>-1.1717559163700202</v>
      </c>
      <c r="U17" s="12">
        <f>'TUSD BE'!$U$17*'TUSD BE'!$U$58</f>
        <v>0</v>
      </c>
      <c r="V17" s="12">
        <f>'TUSD BE'!$V$17*'TUSD BE'!$V$58</f>
        <v>0</v>
      </c>
      <c r="W17" s="12">
        <f>'TUSD BE'!$W$17*'TUSD BE'!$W$58</f>
        <v>0</v>
      </c>
      <c r="X17" s="12">
        <f>'TUSD BE'!$X$17*'TUSD BE'!$X$58</f>
        <v>0</v>
      </c>
      <c r="Y17" s="12">
        <f>'TUSD BE'!$Y$17*'TUSD BE'!$Y$58</f>
        <v>2.9315324884461678</v>
      </c>
      <c r="Z17" s="12">
        <f>'TUSD BE'!$Z$17*'TUSD BE'!$Z$58</f>
        <v>0</v>
      </c>
      <c r="AA17" s="12">
        <f>'TUSD BE'!$AA$17*'TUSD BE'!$AA$58</f>
        <v>0</v>
      </c>
      <c r="AB17" s="12">
        <f>SUM($U$17:$AA$17)</f>
        <v>2.9315324884461678</v>
      </c>
      <c r="AC17" s="12">
        <f>'TUSD BE'!$AC$17*'TUSD BE'!$AC$58</f>
        <v>0</v>
      </c>
      <c r="AD17" s="12">
        <f>SUM($AC$17:$AC$17)</f>
        <v>0</v>
      </c>
      <c r="AE17" s="12">
        <f ca="1">$AO$17*$AO$55</f>
        <v>-14.293012024856969</v>
      </c>
      <c r="AF17" s="12">
        <f ca="1">$AP$17*$AP$55</f>
        <v>0</v>
      </c>
      <c r="AG17" s="12">
        <f ca="1">SUM($AE$17:$AF$17)</f>
        <v>-14.293012024856969</v>
      </c>
      <c r="AH17" s="12">
        <f>'TUSD BE'!$AH$17*'TUSD BE'!$AH$58</f>
        <v>0.11072969255837979</v>
      </c>
      <c r="AI17" s="12">
        <f>'TUSD BE'!$AI$17*'TUSD BE'!$AI$58</f>
        <v>0</v>
      </c>
      <c r="AJ17" s="12">
        <f ca="1">'TUSD BE'!$AJ$17*'TUSD BE'!$AJ$58</f>
        <v>0</v>
      </c>
      <c r="AK17" s="12">
        <f ca="1">'TUSD BE'!$AK$17*'TUSD BE'!$AK$58</f>
        <v>0</v>
      </c>
      <c r="AL17" s="12">
        <f ca="1">SUM($AH$17:$AK$17)</f>
        <v>0.11072969255837979</v>
      </c>
      <c r="AM17" s="12">
        <f ca="1">SUMIF($L$4:$AL$4,"SUBTOTAL",$L$17:$AL$17)</f>
        <v>-12.422505760222442</v>
      </c>
      <c r="AO17" s="20">
        <f ca="1">+'TUSD BE'!$T$17+'TUSD BE'!$AB$17+'TUSD BE'!$AD$17+'TUSD BE'!$AL$17</f>
        <v>573.25434528911228</v>
      </c>
      <c r="AP17" s="20">
        <f ca="1">+'TUSD BE'!$T$17+'TUSD BE'!$AB$17+'TUSD BE'!$AD$17+'TUSD BE'!$AL$17</f>
        <v>573.25434528911228</v>
      </c>
    </row>
    <row r="18" spans="1:42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>
        <f>'TUSD BE'!$L$18*'TUSD BE'!$L$58</f>
        <v>0</v>
      </c>
      <c r="M18" s="12">
        <f>'TUSD BE'!$M$18*'TUSD BE'!$M$58</f>
        <v>-7.7585644061510519E-3</v>
      </c>
      <c r="N18" s="12">
        <f ca="1">'TUSD BE'!$N$18*'TUSD BE'!$N$58</f>
        <v>0</v>
      </c>
      <c r="O18" s="12">
        <f>'TUSD BE'!$O$18*'TUSD BE'!$O$58</f>
        <v>0</v>
      </c>
      <c r="P18" s="12">
        <f>'TUSD BE'!$P$18*'TUSD BE'!$P$58</f>
        <v>0</v>
      </c>
      <c r="Q18" s="12">
        <f>'TUSD BE'!$Q$18*'TUSD BE'!$Q$58</f>
        <v>-1.0099158360270382</v>
      </c>
      <c r="R18" s="12">
        <f>'TUSD BE'!$R$18*'TUSD BE'!$R$58</f>
        <v>-0.15408151593683103</v>
      </c>
      <c r="S18" s="12">
        <f>'TUSD BE'!$R$18*'TUSD BE'!$S$58</f>
        <v>0</v>
      </c>
      <c r="T18" s="12">
        <f ca="1">SUM($L$18:$S$18)</f>
        <v>-1.1717559163700202</v>
      </c>
      <c r="U18" s="12">
        <f>'TUSD BE'!$U$18*'TUSD BE'!$U$58</f>
        <v>0</v>
      </c>
      <c r="V18" s="12">
        <f>'TUSD BE'!$V$18*'TUSD BE'!$V$58</f>
        <v>0</v>
      </c>
      <c r="W18" s="12">
        <f>'TUSD BE'!$W$18*'TUSD BE'!$W$58</f>
        <v>0</v>
      </c>
      <c r="X18" s="12">
        <f>'TUSD BE'!$X$18*'TUSD BE'!$X$58</f>
        <v>0</v>
      </c>
      <c r="Y18" s="12">
        <f>'TUSD BE'!$Y$18*'TUSD BE'!$Y$58</f>
        <v>1.7592881233711835</v>
      </c>
      <c r="Z18" s="12">
        <f>'TUSD BE'!$Z$18*'TUSD BE'!$Z$58</f>
        <v>0</v>
      </c>
      <c r="AA18" s="12">
        <f>'TUSD BE'!$AA$18*'TUSD BE'!$AA$58</f>
        <v>0</v>
      </c>
      <c r="AB18" s="12">
        <f>SUM($U$18:$AA$18)</f>
        <v>1.7592881233711835</v>
      </c>
      <c r="AC18" s="12">
        <f>'TUSD BE'!$AC$18*'TUSD BE'!$AC$58</f>
        <v>0</v>
      </c>
      <c r="AD18" s="12">
        <f>SUM($AC$18:$AC$18)</f>
        <v>0</v>
      </c>
      <c r="AE18" s="12">
        <f ca="1">$AO$18*$AO$55</f>
        <v>-9.7534556603142537</v>
      </c>
      <c r="AF18" s="12">
        <f ca="1">$AP$18*$AP$55</f>
        <v>0</v>
      </c>
      <c r="AG18" s="12">
        <f ca="1">SUM($AE$18:$AF$18)</f>
        <v>-9.7534556603142537</v>
      </c>
      <c r="AH18" s="12">
        <f>'TUSD BE'!$AH$18*'TUSD BE'!$AH$58</f>
        <v>0.11072969255837979</v>
      </c>
      <c r="AI18" s="12">
        <f>'TUSD BE'!$AI$18*'TUSD BE'!$AI$58</f>
        <v>0</v>
      </c>
      <c r="AJ18" s="12">
        <f ca="1">'TUSD BE'!$AJ$18*'TUSD BE'!$AJ$58</f>
        <v>0</v>
      </c>
      <c r="AK18" s="12">
        <f ca="1">'TUSD BE'!$AK$18*'TUSD BE'!$AK$58</f>
        <v>0</v>
      </c>
      <c r="AL18" s="12">
        <f ca="1">SUM($AH$18:$AK$18)</f>
        <v>0.11072969255837979</v>
      </c>
      <c r="AM18" s="12">
        <f ca="1">SUMIF($L$4:$AL$4,"SUBTOTAL",$L$18:$AL$18)</f>
        <v>-9.0551937607547117</v>
      </c>
      <c r="AO18" s="20">
        <f ca="1">+'TUSD BE'!$T$18+'TUSD BE'!$AB$18+'TUSD BE'!$AD$18+'TUSD BE'!$AL$18</f>
        <v>391.18492513237675</v>
      </c>
      <c r="AP18" s="20">
        <f ca="1">+'TUSD BE'!$T$18+'TUSD BE'!$AB$18+'TUSD BE'!$AD$18+'TUSD BE'!$AL$18</f>
        <v>391.18492513237675</v>
      </c>
    </row>
    <row r="19" spans="1:42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>
        <f>'TUSD BE'!$L$19*'TUSD BE'!$L$58</f>
        <v>0</v>
      </c>
      <c r="M19" s="12">
        <f>'TUSD BE'!$M$19*'TUSD BE'!$M$58</f>
        <v>-7.7585644061510519E-3</v>
      </c>
      <c r="N19" s="12">
        <f ca="1">'TUSD BE'!$N$19*'TUSD BE'!$N$58</f>
        <v>0</v>
      </c>
      <c r="O19" s="12">
        <f>'TUSD BE'!$O$19*'TUSD BE'!$O$58</f>
        <v>0</v>
      </c>
      <c r="P19" s="12">
        <f>'TUSD BE'!$P$19*'TUSD BE'!$P$58</f>
        <v>0</v>
      </c>
      <c r="Q19" s="12">
        <f>'TUSD BE'!$Q$19*'TUSD BE'!$Q$58</f>
        <v>-1.0099158360270382</v>
      </c>
      <c r="R19" s="12">
        <f>'TUSD BE'!$R$19*'TUSD BE'!$R$58</f>
        <v>-0.15408151593683103</v>
      </c>
      <c r="S19" s="12">
        <f>'TUSD BE'!$R$19*'TUSD BE'!$S$58</f>
        <v>0</v>
      </c>
      <c r="T19" s="12">
        <f ca="1">SUM($L$19:$S$19)</f>
        <v>-1.1717559163700202</v>
      </c>
      <c r="U19" s="12">
        <f>'TUSD BE'!$U$19*'TUSD BE'!$U$58</f>
        <v>0</v>
      </c>
      <c r="V19" s="12">
        <f>'TUSD BE'!$V$19*'TUSD BE'!$V$58</f>
        <v>0</v>
      </c>
      <c r="W19" s="12">
        <f>'TUSD BE'!$W$19*'TUSD BE'!$W$58</f>
        <v>0</v>
      </c>
      <c r="X19" s="12">
        <f>'TUSD BE'!$X$19*'TUSD BE'!$X$58</f>
        <v>0</v>
      </c>
      <c r="Y19" s="12">
        <f>'TUSD BE'!$Y$19*'TUSD BE'!$Y$58</f>
        <v>0.58658297041684559</v>
      </c>
      <c r="Z19" s="12">
        <f>'TUSD BE'!$Z$19*'TUSD BE'!$Z$58</f>
        <v>0</v>
      </c>
      <c r="AA19" s="12">
        <f>'TUSD BE'!$AA$19*'TUSD BE'!$AA$58</f>
        <v>0</v>
      </c>
      <c r="AB19" s="12">
        <f>SUM($U$19:$AA$19)</f>
        <v>0.58658297041684559</v>
      </c>
      <c r="AC19" s="12">
        <f>'TUSD BE'!$AC$19*'TUSD BE'!$AC$58</f>
        <v>0</v>
      </c>
      <c r="AD19" s="12">
        <f>SUM($AC$19:$AC$19)</f>
        <v>0</v>
      </c>
      <c r="AE19" s="12">
        <f ca="1">$AO$19*$AO$55</f>
        <v>-5.2135070790052715</v>
      </c>
      <c r="AF19" s="12">
        <f ca="1">$AP$19*$AP$55</f>
        <v>0</v>
      </c>
      <c r="AG19" s="12">
        <f ca="1">SUM($AE$19:$AF$19)</f>
        <v>-5.2135070790052715</v>
      </c>
      <c r="AH19" s="12">
        <f>'TUSD BE'!$AH$19*'TUSD BE'!$AH$58</f>
        <v>0.11072969255837979</v>
      </c>
      <c r="AI19" s="12">
        <f>'TUSD BE'!$AI$19*'TUSD BE'!$AI$58</f>
        <v>0</v>
      </c>
      <c r="AJ19" s="12">
        <f ca="1">'TUSD BE'!$AJ$19*'TUSD BE'!$AJ$58</f>
        <v>0</v>
      </c>
      <c r="AK19" s="12">
        <f ca="1">'TUSD BE'!$AK$19*'TUSD BE'!$AK$58</f>
        <v>0</v>
      </c>
      <c r="AL19" s="12">
        <f ca="1">SUM($AH$19:$AK$19)</f>
        <v>0.11072969255837979</v>
      </c>
      <c r="AM19" s="12">
        <f ca="1">SUMIF($L$4:$AL$4,"SUBTOTAL",$L$19:$AL$19)</f>
        <v>-5.6879503324000664</v>
      </c>
      <c r="AO19" s="20">
        <f ca="1">+'TUSD BE'!$T$19+'TUSD BE'!$AB$19+'TUSD BE'!$AD$19+'TUSD BE'!$AL$19</f>
        <v>209.09977421398182</v>
      </c>
      <c r="AP19" s="20">
        <f ca="1">+'TUSD BE'!$T$19+'TUSD BE'!$AB$19+'TUSD BE'!$AD$19+'TUSD BE'!$AL$19</f>
        <v>209.09977421398182</v>
      </c>
    </row>
    <row r="20" spans="1:42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>
        <f>'TUSD BE'!$L$20*'TUSD BE'!$L$58</f>
        <v>0</v>
      </c>
      <c r="M20" s="12">
        <f>'TUSD BE'!$M$20*'TUSD BE'!$M$58</f>
        <v>-7.7585644061510519E-3</v>
      </c>
      <c r="N20" s="12">
        <f ca="1">'TUSD BE'!$N$20*'TUSD BE'!$N$58</f>
        <v>0</v>
      </c>
      <c r="O20" s="12">
        <f>'TUSD BE'!$O$20*'TUSD BE'!$O$58</f>
        <v>0</v>
      </c>
      <c r="P20" s="12">
        <f>'TUSD BE'!$P$20*'TUSD BE'!$P$58</f>
        <v>0</v>
      </c>
      <c r="Q20" s="12">
        <f>'TUSD BE'!$Q$20*'TUSD BE'!$Q$58</f>
        <v>-1.0099158360270382</v>
      </c>
      <c r="R20" s="12">
        <f>'TUSD BE'!$R$20*'TUSD BE'!$R$58</f>
        <v>-0.15408151593683103</v>
      </c>
      <c r="S20" s="12">
        <f>'TUSD BE'!$R$20*'TUSD BE'!$S$58</f>
        <v>0</v>
      </c>
      <c r="T20" s="12">
        <f ca="1">SUM($L$20:$S$20)</f>
        <v>-1.1717559163700202</v>
      </c>
      <c r="U20" s="12">
        <f>'TUSD BE'!$U$20*'TUSD BE'!$U$58</f>
        <v>0</v>
      </c>
      <c r="V20" s="12">
        <f>'TUSD BE'!$V$20*'TUSD BE'!$V$58</f>
        <v>0</v>
      </c>
      <c r="W20" s="12">
        <f>'TUSD BE'!$W$20*'TUSD BE'!$W$58</f>
        <v>0</v>
      </c>
      <c r="X20" s="12">
        <f>'TUSD BE'!$X$20*'TUSD BE'!$X$58</f>
        <v>0</v>
      </c>
      <c r="Y20" s="12">
        <f>'TUSD BE'!$Y$20*'TUSD BE'!$Y$58</f>
        <v>1.0860770316359034</v>
      </c>
      <c r="Z20" s="12">
        <f>'TUSD BE'!$Z$20*'TUSD BE'!$Z$58</f>
        <v>0</v>
      </c>
      <c r="AA20" s="12">
        <f>'TUSD BE'!$AA$20*'TUSD BE'!$AA$58</f>
        <v>0</v>
      </c>
      <c r="AB20" s="12">
        <f>SUM($U$20:$AA$20)</f>
        <v>1.0860770316359034</v>
      </c>
      <c r="AC20" s="12">
        <f>'TUSD BE'!$AC$20*'TUSD BE'!$AC$58</f>
        <v>0</v>
      </c>
      <c r="AD20" s="12">
        <f>SUM($AC$20:$AC$20)</f>
        <v>0</v>
      </c>
      <c r="AE20" s="12">
        <f ca="1">$AO$20*$AO$55</f>
        <v>-7.1471966105497247</v>
      </c>
      <c r="AF20" s="12">
        <f ca="1">$AP$20*$AP$55</f>
        <v>0</v>
      </c>
      <c r="AG20" s="12">
        <f ca="1">SUM($AE$20:$AF$20)</f>
        <v>-7.1471966105497247</v>
      </c>
      <c r="AH20" s="12">
        <f>'TUSD BE'!$AH$20*'TUSD BE'!$AH$58</f>
        <v>0.11072969255837979</v>
      </c>
      <c r="AI20" s="12">
        <f>'TUSD BE'!$AI$20*'TUSD BE'!$AI$58</f>
        <v>0</v>
      </c>
      <c r="AJ20" s="12">
        <f ca="1">'TUSD BE'!$AJ$20*'TUSD BE'!$AJ$58</f>
        <v>0</v>
      </c>
      <c r="AK20" s="12">
        <f ca="1">'TUSD BE'!$AK$20*'TUSD BE'!$AK$58</f>
        <v>0</v>
      </c>
      <c r="AL20" s="12">
        <f ca="1">SUM($AH$20:$AK$20)</f>
        <v>0.11072969255837979</v>
      </c>
      <c r="AM20" s="12">
        <f ca="1">SUMIF($L$4:$AL$4,"SUBTOTAL",$L$20:$AL$20)</f>
        <v>-7.1221458027254618</v>
      </c>
      <c r="AO20" s="20">
        <f ca="1">+'TUSD BE'!$T$20+'TUSD BE'!$AB$20+'TUSD BE'!$AD$20+'TUSD BE'!$AL$20</f>
        <v>286.65487068141226</v>
      </c>
      <c r="AP20" s="20">
        <f ca="1">+'TUSD BE'!$T$20+'TUSD BE'!$AB$20+'TUSD BE'!$AD$20+'TUSD BE'!$AL$20</f>
        <v>286.65487068141226</v>
      </c>
    </row>
    <row r="21" spans="1:42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>
        <f>'TUSD BE'!$L$21*'TUSD BE'!$L$58</f>
        <v>0</v>
      </c>
      <c r="M21" s="12">
        <f>'TUSD BE'!$M$21*'TUSD BE'!$M$58</f>
        <v>-7.7585644061510519E-3</v>
      </c>
      <c r="N21" s="12">
        <f ca="1">'TUSD BE'!$N$21*'TUSD BE'!$N$58</f>
        <v>0</v>
      </c>
      <c r="O21" s="12">
        <f>'TUSD BE'!$O$21*'TUSD BE'!$O$58</f>
        <v>0</v>
      </c>
      <c r="P21" s="12">
        <f>'TUSD BE'!$P$21*'TUSD BE'!$P$58</f>
        <v>0</v>
      </c>
      <c r="Q21" s="12">
        <f>'TUSD BE'!$Q$21*'TUSD BE'!$Q$58</f>
        <v>0</v>
      </c>
      <c r="R21" s="12">
        <f>'TUSD BE'!$R$21*'TUSD BE'!$R$58</f>
        <v>0</v>
      </c>
      <c r="S21" s="12">
        <f>'TUSD BE'!$R$21*'TUSD BE'!$S$58</f>
        <v>0</v>
      </c>
      <c r="T21" s="12">
        <f ca="1">SUM($L$21:$S$21)</f>
        <v>-7.7585644061510519E-3</v>
      </c>
      <c r="U21" s="12">
        <f>'TUSD BE'!$U$21*'TUSD BE'!$U$58</f>
        <v>0</v>
      </c>
      <c r="V21" s="12">
        <f>'TUSD BE'!$V$21*'TUSD BE'!$V$58</f>
        <v>0</v>
      </c>
      <c r="W21" s="12">
        <f>'TUSD BE'!$W$21*'TUSD BE'!$W$58</f>
        <v>0</v>
      </c>
      <c r="X21" s="12">
        <f>'TUSD BE'!$X$21*'TUSD BE'!$X$58</f>
        <v>0</v>
      </c>
      <c r="Y21" s="12">
        <f>'TUSD BE'!$Y$21*'TUSD BE'!$Y$58</f>
        <v>1.0860770316359034</v>
      </c>
      <c r="Z21" s="12">
        <f>'TUSD BE'!$Z$21*'TUSD BE'!$Z$58</f>
        <v>0</v>
      </c>
      <c r="AA21" s="12">
        <f>'TUSD BE'!$AA$21*'TUSD BE'!$AA$58</f>
        <v>0</v>
      </c>
      <c r="AB21" s="12">
        <f>SUM($U$21:$AA$21)</f>
        <v>1.0860770316359034</v>
      </c>
      <c r="AC21" s="12">
        <f>'TUSD BE'!$AC$21*'TUSD BE'!$AC$58</f>
        <v>0</v>
      </c>
      <c r="AD21" s="12">
        <f>SUM($AC$21:$AC$21)</f>
        <v>0</v>
      </c>
      <c r="AE21" s="12">
        <f ca="1">$AO$21*$AO$55</f>
        <v>-4.5554949732004353</v>
      </c>
      <c r="AF21" s="12">
        <f ca="1">$AP$21*$AP$55</f>
        <v>0</v>
      </c>
      <c r="AG21" s="12">
        <f ca="1">SUM($AE$21:$AF$21)</f>
        <v>-4.5554949732004353</v>
      </c>
      <c r="AH21" s="12">
        <f>'TUSD BE'!$AH$21*'TUSD BE'!$AH$58</f>
        <v>0.11072969255837979</v>
      </c>
      <c r="AI21" s="12">
        <f>'TUSD BE'!$AI$21*'TUSD BE'!$AI$58</f>
        <v>0</v>
      </c>
      <c r="AJ21" s="12">
        <f ca="1">'TUSD BE'!$AJ$21*'TUSD BE'!$AJ$58</f>
        <v>0</v>
      </c>
      <c r="AK21" s="12">
        <f ca="1">'TUSD BE'!$AK$21*'TUSD BE'!$AK$58</f>
        <v>0</v>
      </c>
      <c r="AL21" s="12">
        <f ca="1">SUM($AH$21:$AK$21)</f>
        <v>0.11072969255837979</v>
      </c>
      <c r="AM21" s="12">
        <f ca="1">SUMIF($L$4:$AL$4,"SUBTOTAL",$L$21:$AL$21)</f>
        <v>-3.3664468134123036</v>
      </c>
      <c r="AO21" s="20">
        <f ca="1">+'TUSD BE'!$T$21+'TUSD BE'!$AB$21+'TUSD BE'!$AD$21+'TUSD BE'!$AL$21</f>
        <v>182.7086749656597</v>
      </c>
      <c r="AP21" s="20">
        <f ca="1">+'TUSD BE'!$T$21+'TUSD BE'!$AB$21+'TUSD BE'!$AD$21+'TUSD BE'!$AL$21</f>
        <v>182.7086749656597</v>
      </c>
    </row>
    <row r="22" spans="1:42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>
        <f>'TUSD BE'!$L$22*'TUSD BE'!$L$58</f>
        <v>0</v>
      </c>
      <c r="M22" s="12">
        <f>'TUSD BE'!$M$22*'TUSD BE'!$M$58</f>
        <v>-7.7585644061510519E-3</v>
      </c>
      <c r="N22" s="12">
        <f ca="1">'TUSD BE'!$N$22*'TUSD BE'!$N$58</f>
        <v>0</v>
      </c>
      <c r="O22" s="12">
        <f>'TUSD BE'!$O$22*'TUSD BE'!$O$58</f>
        <v>0</v>
      </c>
      <c r="P22" s="12">
        <f>'TUSD BE'!$P$22*'TUSD BE'!$P$58</f>
        <v>0</v>
      </c>
      <c r="Q22" s="12">
        <f>'TUSD BE'!$Q$22*'TUSD BE'!$Q$58</f>
        <v>0</v>
      </c>
      <c r="R22" s="12">
        <f>'TUSD BE'!$R$22*'TUSD BE'!$R$58</f>
        <v>0</v>
      </c>
      <c r="S22" s="12">
        <f>'TUSD BE'!$R$22*'TUSD BE'!$S$58</f>
        <v>0</v>
      </c>
      <c r="T22" s="12">
        <f ca="1">SUM($L$22:$S$22)</f>
        <v>-7.7585644061510519E-3</v>
      </c>
      <c r="U22" s="12">
        <f>'TUSD BE'!$U$22*'TUSD BE'!$U$58</f>
        <v>0</v>
      </c>
      <c r="V22" s="12">
        <f>'TUSD BE'!$V$22*'TUSD BE'!$V$58</f>
        <v>0</v>
      </c>
      <c r="W22" s="12">
        <f>'TUSD BE'!$W$22*'TUSD BE'!$W$58</f>
        <v>0</v>
      </c>
      <c r="X22" s="12">
        <f>'TUSD BE'!$X$22*'TUSD BE'!$X$58</f>
        <v>0</v>
      </c>
      <c r="Y22" s="12">
        <f>'TUSD BE'!$Y$22*'TUSD BE'!$Y$58</f>
        <v>1.0860770316359034</v>
      </c>
      <c r="Z22" s="12">
        <f>'TUSD BE'!$Z$22*'TUSD BE'!$Z$58</f>
        <v>0</v>
      </c>
      <c r="AA22" s="12">
        <f>'TUSD BE'!$AA$22*'TUSD BE'!$AA$58</f>
        <v>0</v>
      </c>
      <c r="AB22" s="12">
        <f>SUM($U$22:$AA$22)</f>
        <v>1.0860770316359034</v>
      </c>
      <c r="AC22" s="12">
        <f>'TUSD BE'!$AC$22*'TUSD BE'!$AC$58</f>
        <v>0</v>
      </c>
      <c r="AD22" s="12">
        <f>SUM($AC$22:$AC$22)</f>
        <v>0</v>
      </c>
      <c r="AE22" s="12">
        <f ca="1">$AO$22*$AO$55</f>
        <v>-4.5554949732004353</v>
      </c>
      <c r="AF22" s="12">
        <f ca="1">$AP$22*$AP$55</f>
        <v>0</v>
      </c>
      <c r="AG22" s="12">
        <f ca="1">SUM($AE$22:$AF$22)</f>
        <v>-4.5554949732004353</v>
      </c>
      <c r="AH22" s="12">
        <f>'TUSD BE'!$AH$22*'TUSD BE'!$AH$58</f>
        <v>0.11072969255837979</v>
      </c>
      <c r="AI22" s="12">
        <f>'TUSD BE'!$AI$22*'TUSD BE'!$AI$58</f>
        <v>0</v>
      </c>
      <c r="AJ22" s="12">
        <f ca="1">'TUSD BE'!$AJ$22*'TUSD BE'!$AJ$58</f>
        <v>0</v>
      </c>
      <c r="AK22" s="12">
        <f ca="1">'TUSD BE'!$AK$22*'TUSD BE'!$AK$58</f>
        <v>0</v>
      </c>
      <c r="AL22" s="12">
        <f ca="1">SUM($AH$22:$AK$22)</f>
        <v>0.11072969255837979</v>
      </c>
      <c r="AM22" s="12">
        <f ca="1">SUMIF($L$4:$AL$4,"SUBTOTAL",$L$22:$AL$22)</f>
        <v>-3.3664468134123036</v>
      </c>
      <c r="AO22" s="20">
        <f ca="1">+'TUSD BE'!$T$22+'TUSD BE'!$AB$22+'TUSD BE'!$AD$22+'TUSD BE'!$AL$22</f>
        <v>182.7086749656597</v>
      </c>
      <c r="AP22" s="20">
        <f ca="1">+'TUSD BE'!$T$22+'TUSD BE'!$AB$22+'TUSD BE'!$AD$22+'TUSD BE'!$AL$22</f>
        <v>182.7086749656597</v>
      </c>
    </row>
    <row r="23" spans="1:42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>
        <f>'TUSD BE'!$L$23*'TUSD BE'!$L$58</f>
        <v>0</v>
      </c>
      <c r="M23" s="12">
        <f>'TUSD BE'!$M$23*'TUSD BE'!$M$58</f>
        <v>-7.7585644061510519E-3</v>
      </c>
      <c r="N23" s="12">
        <f ca="1">'TUSD BE'!$N$23*'TUSD BE'!$N$58</f>
        <v>0</v>
      </c>
      <c r="O23" s="12">
        <f>'TUSD BE'!$O$23*'TUSD BE'!$O$58</f>
        <v>0</v>
      </c>
      <c r="P23" s="12">
        <f>'TUSD BE'!$P$23*'TUSD BE'!$P$58</f>
        <v>0</v>
      </c>
      <c r="Q23" s="12">
        <f>'TUSD BE'!$Q$23*'TUSD BE'!$Q$58</f>
        <v>0</v>
      </c>
      <c r="R23" s="12">
        <f>'TUSD BE'!$R$23*'TUSD BE'!$R$58</f>
        <v>0</v>
      </c>
      <c r="S23" s="12">
        <f>'TUSD BE'!$R$23*'TUSD BE'!$S$58</f>
        <v>0</v>
      </c>
      <c r="T23" s="12">
        <f ca="1">SUM($L$23:$S$23)</f>
        <v>-7.7585644061510519E-3</v>
      </c>
      <c r="U23" s="12">
        <f>'TUSD BE'!$U$23*'TUSD BE'!$U$58</f>
        <v>0</v>
      </c>
      <c r="V23" s="12">
        <f>'TUSD BE'!$V$23*'TUSD BE'!$V$58</f>
        <v>0</v>
      </c>
      <c r="W23" s="12">
        <f>'TUSD BE'!$W$23*'TUSD BE'!$W$58</f>
        <v>0</v>
      </c>
      <c r="X23" s="12">
        <f>'TUSD BE'!$X$23*'TUSD BE'!$X$58</f>
        <v>0</v>
      </c>
      <c r="Y23" s="12">
        <f>'TUSD BE'!$Y$23*'TUSD BE'!$Y$58</f>
        <v>1.0860770316359034</v>
      </c>
      <c r="Z23" s="12">
        <f>'TUSD BE'!$Z$23*'TUSD BE'!$Z$58</f>
        <v>0</v>
      </c>
      <c r="AA23" s="12">
        <f>'TUSD BE'!$AA$23*'TUSD BE'!$AA$58</f>
        <v>0</v>
      </c>
      <c r="AB23" s="12">
        <f>SUM($U$23:$AA$23)</f>
        <v>1.0860770316359034</v>
      </c>
      <c r="AC23" s="12">
        <f>'TUSD BE'!$AC$23*'TUSD BE'!$AC$58</f>
        <v>0</v>
      </c>
      <c r="AD23" s="12">
        <f>SUM($AC$23:$AC$23)</f>
        <v>0</v>
      </c>
      <c r="AE23" s="12">
        <f ca="1">$AO$23*$AO$55</f>
        <v>-4.5554949732004353</v>
      </c>
      <c r="AF23" s="12">
        <f ca="1">$AP$23*$AP$55</f>
        <v>0</v>
      </c>
      <c r="AG23" s="12">
        <f ca="1">SUM($AE$23:$AF$23)</f>
        <v>-4.5554949732004353</v>
      </c>
      <c r="AH23" s="12">
        <f>'TUSD BE'!$AH$23*'TUSD BE'!$AH$58</f>
        <v>0.11072969255837979</v>
      </c>
      <c r="AI23" s="12">
        <f>'TUSD BE'!$AI$23*'TUSD BE'!$AI$58</f>
        <v>0</v>
      </c>
      <c r="AJ23" s="12">
        <f ca="1">'TUSD BE'!$AJ$23*'TUSD BE'!$AJ$58</f>
        <v>0</v>
      </c>
      <c r="AK23" s="12">
        <f ca="1">'TUSD BE'!$AK$23*'TUSD BE'!$AK$58</f>
        <v>0</v>
      </c>
      <c r="AL23" s="12">
        <f ca="1">SUM($AH$23:$AK$23)</f>
        <v>0.11072969255837979</v>
      </c>
      <c r="AM23" s="12">
        <f ca="1">SUMIF($L$4:$AL$4,"SUBTOTAL",$L$23:$AL$23)</f>
        <v>-3.3664468134123036</v>
      </c>
      <c r="AO23" s="20">
        <f ca="1">+'TUSD BE'!$T$23+'TUSD BE'!$AB$23+'TUSD BE'!$AD$23+'TUSD BE'!$AL$23</f>
        <v>182.7086749656597</v>
      </c>
      <c r="AP23" s="20">
        <f ca="1">+'TUSD BE'!$T$23+'TUSD BE'!$AB$23+'TUSD BE'!$AD$23+'TUSD BE'!$AL$23</f>
        <v>182.7086749656597</v>
      </c>
    </row>
    <row r="24" spans="1:42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>
        <f>'TUSD BE'!$L$24*'TUSD BE'!$L$58</f>
        <v>0</v>
      </c>
      <c r="M24" s="12">
        <f>'TUSD BE'!$M$24*'TUSD BE'!$M$58</f>
        <v>-7.7585644061510519E-3</v>
      </c>
      <c r="N24" s="12">
        <f ca="1">'TUSD BE'!$N$24*'TUSD BE'!$N$58</f>
        <v>0</v>
      </c>
      <c r="O24" s="12">
        <f>'TUSD BE'!$O$24*'TUSD BE'!$O$58</f>
        <v>0</v>
      </c>
      <c r="P24" s="12">
        <f>'TUSD BE'!$P$24*'TUSD BE'!$P$58</f>
        <v>0</v>
      </c>
      <c r="Q24" s="12">
        <f>'TUSD BE'!$Q$24*'TUSD BE'!$Q$58</f>
        <v>0</v>
      </c>
      <c r="R24" s="12">
        <f>'TUSD BE'!$R$24*'TUSD BE'!$R$58</f>
        <v>0</v>
      </c>
      <c r="S24" s="12">
        <f>'TUSD BE'!$R$24*'TUSD BE'!$S$58</f>
        <v>0</v>
      </c>
      <c r="T24" s="12">
        <f ca="1">SUM($L$24:$S$24)</f>
        <v>-7.7585644061510519E-3</v>
      </c>
      <c r="U24" s="12">
        <f>'TUSD BE'!$U$24*'TUSD BE'!$U$58</f>
        <v>0</v>
      </c>
      <c r="V24" s="12">
        <f>'TUSD BE'!$V$24*'TUSD BE'!$V$58</f>
        <v>0</v>
      </c>
      <c r="W24" s="12">
        <f>'TUSD BE'!$W$24*'TUSD BE'!$W$58</f>
        <v>0</v>
      </c>
      <c r="X24" s="12">
        <f>'TUSD BE'!$X$24*'TUSD BE'!$X$58</f>
        <v>0</v>
      </c>
      <c r="Y24" s="12">
        <f>'TUSD BE'!$Y$24*'TUSD BE'!$Y$58</f>
        <v>1.0860770316359034</v>
      </c>
      <c r="Z24" s="12">
        <f>'TUSD BE'!$Z$24*'TUSD BE'!$Z$58</f>
        <v>0</v>
      </c>
      <c r="AA24" s="12">
        <f>'TUSD BE'!$AA$24*'TUSD BE'!$AA$58</f>
        <v>0</v>
      </c>
      <c r="AB24" s="12">
        <f>SUM($U$24:$AA$24)</f>
        <v>1.0860770316359034</v>
      </c>
      <c r="AC24" s="12">
        <f>'TUSD BE'!$AC$24*'TUSD BE'!$AC$58</f>
        <v>0</v>
      </c>
      <c r="AD24" s="12">
        <f>SUM($AC$24:$AC$24)</f>
        <v>0</v>
      </c>
      <c r="AE24" s="12">
        <f ca="1">$AO$24*$AO$55</f>
        <v>-4.5554949732004353</v>
      </c>
      <c r="AF24" s="12">
        <f ca="1">$AP$24*$AP$55</f>
        <v>0</v>
      </c>
      <c r="AG24" s="12">
        <f ca="1">SUM($AE$24:$AF$24)</f>
        <v>-4.5554949732004353</v>
      </c>
      <c r="AH24" s="12">
        <f>'TUSD BE'!$AH$24*'TUSD BE'!$AH$58</f>
        <v>0.11072969255837979</v>
      </c>
      <c r="AI24" s="12">
        <f>'TUSD BE'!$AI$24*'TUSD BE'!$AI$58</f>
        <v>0</v>
      </c>
      <c r="AJ24" s="12">
        <f ca="1">'TUSD BE'!$AJ$24*'TUSD BE'!$AJ$58</f>
        <v>0</v>
      </c>
      <c r="AK24" s="12">
        <f ca="1">'TUSD BE'!$AK$24*'TUSD BE'!$AK$58</f>
        <v>0</v>
      </c>
      <c r="AL24" s="12">
        <f ca="1">SUM($AH$24:$AK$24)</f>
        <v>0.11072969255837979</v>
      </c>
      <c r="AM24" s="12">
        <f ca="1">SUMIF($L$4:$AL$4,"SUBTOTAL",$L$24:$AL$24)</f>
        <v>-3.3664468134123036</v>
      </c>
      <c r="AO24" s="20">
        <f ca="1">+'TUSD BE'!$T$24+'TUSD BE'!$AB$24+'TUSD BE'!$AD$24+'TUSD BE'!$AL$24</f>
        <v>182.7086749656597</v>
      </c>
      <c r="AP24" s="20">
        <f ca="1">+'TUSD BE'!$T$24+'TUSD BE'!$AB$24+'TUSD BE'!$AD$24+'TUSD BE'!$AL$24</f>
        <v>182.7086749656597</v>
      </c>
    </row>
    <row r="25" spans="1:42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>
        <f>'TUSD BE'!$L$25*'TUSD BE'!$L$58</f>
        <v>0</v>
      </c>
      <c r="M25" s="12">
        <f>'TUSD BE'!$M$25*'TUSD BE'!$M$58</f>
        <v>-7.7585644061510519E-3</v>
      </c>
      <c r="N25" s="12">
        <f ca="1">'TUSD BE'!$N$25*'TUSD BE'!$N$58</f>
        <v>0</v>
      </c>
      <c r="O25" s="12">
        <f>'TUSD BE'!$O$25*'TUSD BE'!$O$58</f>
        <v>0</v>
      </c>
      <c r="P25" s="12">
        <f>'TUSD BE'!$P$25*'TUSD BE'!$P$58</f>
        <v>0</v>
      </c>
      <c r="Q25" s="12">
        <f>'TUSD BE'!$Q$25*'TUSD BE'!$Q$58</f>
        <v>-1.0099158360270382</v>
      </c>
      <c r="R25" s="12">
        <f>'TUSD BE'!$R$25*'TUSD BE'!$R$58</f>
        <v>-0.15408151593683103</v>
      </c>
      <c r="S25" s="12">
        <f>'TUSD BE'!$R$25*'TUSD BE'!$S$58</f>
        <v>0</v>
      </c>
      <c r="T25" s="12">
        <f ca="1">SUM($L$25:$S$25)</f>
        <v>-1.1717559163700202</v>
      </c>
      <c r="U25" s="12">
        <f>'TUSD BE'!$U$25*'TUSD BE'!$U$58</f>
        <v>0</v>
      </c>
      <c r="V25" s="12">
        <f>'TUSD BE'!$V$25*'TUSD BE'!$V$58</f>
        <v>0</v>
      </c>
      <c r="W25" s="12">
        <f>'TUSD BE'!$W$25*'TUSD BE'!$W$58</f>
        <v>0</v>
      </c>
      <c r="X25" s="12">
        <f>'TUSD BE'!$X$25*'TUSD BE'!$X$58</f>
        <v>0</v>
      </c>
      <c r="Y25" s="12">
        <f>'TUSD BE'!$Y$25*'TUSD BE'!$Y$58</f>
        <v>1.0860770316359034</v>
      </c>
      <c r="Z25" s="12">
        <f>'TUSD BE'!$Z$25*'TUSD BE'!$Z$58</f>
        <v>0</v>
      </c>
      <c r="AA25" s="12">
        <f>'TUSD BE'!$AA$25*'TUSD BE'!$AA$58</f>
        <v>0</v>
      </c>
      <c r="AB25" s="12">
        <f>SUM($U$25:$AA$25)</f>
        <v>1.0860770316359034</v>
      </c>
      <c r="AC25" s="12">
        <f>'TUSD BE'!$AC$25*'TUSD BE'!$AC$58</f>
        <v>0</v>
      </c>
      <c r="AD25" s="12">
        <f>SUM($AC$25:$AC$25)</f>
        <v>0</v>
      </c>
      <c r="AE25" s="12">
        <f ca="1">$AO$25*$AO$55</f>
        <v>-7.1471966105497247</v>
      </c>
      <c r="AF25" s="12">
        <f ca="1">$AP$25*$AP$55</f>
        <v>0</v>
      </c>
      <c r="AG25" s="12">
        <f ca="1">SUM($AE$25:$AF$25)</f>
        <v>-7.1471966105497247</v>
      </c>
      <c r="AH25" s="12">
        <f>'TUSD BE'!$AH$25*'TUSD BE'!$AH$58</f>
        <v>0.11072969255837979</v>
      </c>
      <c r="AI25" s="12">
        <f>'TUSD BE'!$AI$25*'TUSD BE'!$AI$58</f>
        <v>0</v>
      </c>
      <c r="AJ25" s="12">
        <f ca="1">'TUSD BE'!$AJ$25*'TUSD BE'!$AJ$58</f>
        <v>0</v>
      </c>
      <c r="AK25" s="12">
        <f ca="1">'TUSD BE'!$AK$25*'TUSD BE'!$AK$58</f>
        <v>0</v>
      </c>
      <c r="AL25" s="12">
        <f ca="1">SUM($AH$25:$AK$25)</f>
        <v>0.11072969255837979</v>
      </c>
      <c r="AM25" s="12">
        <f ca="1">SUMIF($L$4:$AL$4,"SUBTOTAL",$L$25:$AL$25)</f>
        <v>-7.1221458027254618</v>
      </c>
      <c r="AO25" s="20">
        <f ca="1">+'TUSD BE'!$T$25+'TUSD BE'!$AB$25+'TUSD BE'!$AD$25+'TUSD BE'!$AL$25</f>
        <v>286.65487068141226</v>
      </c>
      <c r="AP25" s="20">
        <f ca="1">+'TUSD BE'!$T$25+'TUSD BE'!$AB$25+'TUSD BE'!$AD$25+'TUSD BE'!$AL$25</f>
        <v>286.65487068141226</v>
      </c>
    </row>
    <row r="26" spans="1:42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>
        <f>'TUSD BE'!$L$26*'TUSD BE'!$L$58</f>
        <v>0</v>
      </c>
      <c r="M26" s="12">
        <f>'TUSD BE'!$M$26*'TUSD BE'!$M$58</f>
        <v>-7.7585644061510519E-3</v>
      </c>
      <c r="N26" s="12">
        <f ca="1">'TUSD BE'!$N$26*'TUSD BE'!$N$58</f>
        <v>0</v>
      </c>
      <c r="O26" s="12">
        <f>'TUSD BE'!$O$26*'TUSD BE'!$O$58</f>
        <v>0</v>
      </c>
      <c r="P26" s="12">
        <f>'TUSD BE'!$P$26*'TUSD BE'!$P$58</f>
        <v>0</v>
      </c>
      <c r="Q26" s="12">
        <f>'TUSD BE'!$Q$26*'TUSD BE'!$Q$58</f>
        <v>0</v>
      </c>
      <c r="R26" s="12">
        <f>'TUSD BE'!$R$26*'TUSD BE'!$R$58</f>
        <v>0</v>
      </c>
      <c r="S26" s="12">
        <f>'TUSD BE'!$R$26*'TUSD BE'!$S$58</f>
        <v>0</v>
      </c>
      <c r="T26" s="12">
        <f ca="1">SUM($L$26:$S$26)</f>
        <v>-7.7585644061510519E-3</v>
      </c>
      <c r="U26" s="12">
        <f>'TUSD BE'!$U$26*'TUSD BE'!$U$58</f>
        <v>0</v>
      </c>
      <c r="V26" s="12">
        <f>'TUSD BE'!$V$26*'TUSD BE'!$V$58</f>
        <v>0</v>
      </c>
      <c r="W26" s="12">
        <f>'TUSD BE'!$W$26*'TUSD BE'!$W$58</f>
        <v>0</v>
      </c>
      <c r="X26" s="12">
        <f>'TUSD BE'!$X$26*'TUSD BE'!$X$58</f>
        <v>0</v>
      </c>
      <c r="Y26" s="12">
        <f>'TUSD BE'!$Y$26*'TUSD BE'!$Y$58</f>
        <v>1.0860770316359034</v>
      </c>
      <c r="Z26" s="12">
        <f>'TUSD BE'!$Z$26*'TUSD BE'!$Z$58</f>
        <v>0</v>
      </c>
      <c r="AA26" s="12">
        <f>'TUSD BE'!$AA$26*'TUSD BE'!$AA$58</f>
        <v>0</v>
      </c>
      <c r="AB26" s="12">
        <f>SUM($U$26:$AA$26)</f>
        <v>1.0860770316359034</v>
      </c>
      <c r="AC26" s="12">
        <f>'TUSD BE'!$AC$26*'TUSD BE'!$AC$58</f>
        <v>0</v>
      </c>
      <c r="AD26" s="12">
        <f>SUM($AC$26:$AC$26)</f>
        <v>0</v>
      </c>
      <c r="AE26" s="12">
        <f ca="1">$AO$26*$AO$55</f>
        <v>-4.5554949732004353</v>
      </c>
      <c r="AF26" s="12">
        <f ca="1">$AP$26*$AP$55</f>
        <v>0</v>
      </c>
      <c r="AG26" s="12">
        <f ca="1">SUM($AE$26:$AF$26)</f>
        <v>-4.5554949732004353</v>
      </c>
      <c r="AH26" s="12">
        <f>'TUSD BE'!$AH$26*'TUSD BE'!$AH$58</f>
        <v>0.11072969255837979</v>
      </c>
      <c r="AI26" s="12">
        <f>'TUSD BE'!$AI$26*'TUSD BE'!$AI$58</f>
        <v>0</v>
      </c>
      <c r="AJ26" s="12">
        <f ca="1">'TUSD BE'!$AJ$26*'TUSD BE'!$AJ$58</f>
        <v>0</v>
      </c>
      <c r="AK26" s="12">
        <f ca="1">'TUSD BE'!$AK$26*'TUSD BE'!$AK$58</f>
        <v>0</v>
      </c>
      <c r="AL26" s="12">
        <f ca="1">SUM($AH$26:$AK$26)</f>
        <v>0.11072969255837979</v>
      </c>
      <c r="AM26" s="12">
        <f ca="1">SUMIF($L$4:$AL$4,"SUBTOTAL",$L$26:$AL$26)</f>
        <v>-3.3664468134123036</v>
      </c>
      <c r="AO26" s="20">
        <f ca="1">+'TUSD BE'!$T$26+'TUSD BE'!$AB$26+'TUSD BE'!$AD$26+'TUSD BE'!$AL$26</f>
        <v>182.7086749656597</v>
      </c>
      <c r="AP26" s="20">
        <f ca="1">+'TUSD BE'!$T$26+'TUSD BE'!$AB$26+'TUSD BE'!$AD$26+'TUSD BE'!$AL$26</f>
        <v>182.7086749656597</v>
      </c>
    </row>
    <row r="27" spans="1:42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>
        <f>'TUSD BE'!$L$27*'TUSD BE'!$L$58</f>
        <v>0</v>
      </c>
      <c r="M27" s="12">
        <f>'TUSD BE'!$M$27*'TUSD BE'!$M$58</f>
        <v>-7.7585644061510519E-3</v>
      </c>
      <c r="N27" s="12">
        <f ca="1">'TUSD BE'!$N$27*'TUSD BE'!$N$58</f>
        <v>0</v>
      </c>
      <c r="O27" s="12">
        <f>'TUSD BE'!$O$27*'TUSD BE'!$O$58</f>
        <v>0</v>
      </c>
      <c r="P27" s="12">
        <f>'TUSD BE'!$P$27*'TUSD BE'!$P$58</f>
        <v>0</v>
      </c>
      <c r="Q27" s="12">
        <f>'TUSD BE'!$Q$27*'TUSD BE'!$Q$58</f>
        <v>0</v>
      </c>
      <c r="R27" s="12">
        <f>'TUSD BE'!$R$27*'TUSD BE'!$R$58</f>
        <v>0</v>
      </c>
      <c r="S27" s="12">
        <f>'TUSD BE'!$R$27*'TUSD BE'!$S$58</f>
        <v>0</v>
      </c>
      <c r="T27" s="12">
        <f ca="1">SUM($L$27:$S$27)</f>
        <v>-7.7585644061510519E-3</v>
      </c>
      <c r="U27" s="12">
        <f>'TUSD BE'!$U$27*'TUSD BE'!$U$58</f>
        <v>0</v>
      </c>
      <c r="V27" s="12">
        <f>'TUSD BE'!$V$27*'TUSD BE'!$V$58</f>
        <v>0</v>
      </c>
      <c r="W27" s="12">
        <f>'TUSD BE'!$W$27*'TUSD BE'!$W$58</f>
        <v>0</v>
      </c>
      <c r="X27" s="12">
        <f>'TUSD BE'!$X$27*'TUSD BE'!$X$58</f>
        <v>0</v>
      </c>
      <c r="Y27" s="12">
        <f>'TUSD BE'!$Y$27*'TUSD BE'!$Y$58</f>
        <v>1.0860770316359034</v>
      </c>
      <c r="Z27" s="12">
        <f>'TUSD BE'!$Z$27*'TUSD BE'!$Z$58</f>
        <v>0</v>
      </c>
      <c r="AA27" s="12">
        <f>'TUSD BE'!$AA$27*'TUSD BE'!$AA$58</f>
        <v>0</v>
      </c>
      <c r="AB27" s="12">
        <f>SUM($U$27:$AA$27)</f>
        <v>1.0860770316359034</v>
      </c>
      <c r="AC27" s="12">
        <f>'TUSD BE'!$AC$27*'TUSD BE'!$AC$58</f>
        <v>0</v>
      </c>
      <c r="AD27" s="12">
        <f>SUM($AC$27:$AC$27)</f>
        <v>0</v>
      </c>
      <c r="AE27" s="12">
        <f ca="1">$AO$27*$AO$55</f>
        <v>-4.5554949732004353</v>
      </c>
      <c r="AF27" s="12">
        <f ca="1">$AP$27*$AP$55</f>
        <v>0</v>
      </c>
      <c r="AG27" s="12">
        <f ca="1">SUM($AE$27:$AF$27)</f>
        <v>-4.5554949732004353</v>
      </c>
      <c r="AH27" s="12">
        <f>'TUSD BE'!$AH$27*'TUSD BE'!$AH$58</f>
        <v>0.11072969255837979</v>
      </c>
      <c r="AI27" s="12">
        <f>'TUSD BE'!$AI$27*'TUSD BE'!$AI$58</f>
        <v>0</v>
      </c>
      <c r="AJ27" s="12">
        <f ca="1">'TUSD BE'!$AJ$27*'TUSD BE'!$AJ$58</f>
        <v>0</v>
      </c>
      <c r="AK27" s="12">
        <f ca="1">'TUSD BE'!$AK$27*'TUSD BE'!$AK$58</f>
        <v>0</v>
      </c>
      <c r="AL27" s="12">
        <f ca="1">SUM($AH$27:$AK$27)</f>
        <v>0.11072969255837979</v>
      </c>
      <c r="AM27" s="12">
        <f ca="1">SUMIF($L$4:$AL$4,"SUBTOTAL",$L$27:$AL$27)</f>
        <v>-3.3664468134123036</v>
      </c>
      <c r="AO27" s="20">
        <f ca="1">+'TUSD BE'!$T$27+'TUSD BE'!$AB$27+'TUSD BE'!$AD$27+'TUSD BE'!$AL$27</f>
        <v>182.7086749656597</v>
      </c>
      <c r="AP27" s="20">
        <f ca="1">+'TUSD BE'!$T$27+'TUSD BE'!$AB$27+'TUSD BE'!$AD$27+'TUSD BE'!$AL$27</f>
        <v>182.7086749656597</v>
      </c>
    </row>
    <row r="28" spans="1:42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>
        <f>'TUSD BE'!$L$28*'TUSD BE'!$L$58</f>
        <v>0</v>
      </c>
      <c r="M28" s="12">
        <f>'TUSD BE'!$M$28*'TUSD BE'!$M$58</f>
        <v>-7.7585644061510519E-3</v>
      </c>
      <c r="N28" s="12">
        <f ca="1">'TUSD BE'!$N$28*'TUSD BE'!$N$58</f>
        <v>0</v>
      </c>
      <c r="O28" s="12">
        <f>'TUSD BE'!$O$28*'TUSD BE'!$O$58</f>
        <v>0</v>
      </c>
      <c r="P28" s="12">
        <f>'TUSD BE'!$P$28*'TUSD BE'!$P$58</f>
        <v>0</v>
      </c>
      <c r="Q28" s="12">
        <f>'TUSD BE'!$Q$28*'TUSD BE'!$Q$58</f>
        <v>0</v>
      </c>
      <c r="R28" s="12">
        <f>'TUSD BE'!$R$28*'TUSD BE'!$R$58</f>
        <v>0</v>
      </c>
      <c r="S28" s="12">
        <f>'TUSD BE'!$R$28*'TUSD BE'!$S$58</f>
        <v>0</v>
      </c>
      <c r="T28" s="12">
        <f ca="1">SUM($L$28:$S$28)</f>
        <v>-7.7585644061510519E-3</v>
      </c>
      <c r="U28" s="12">
        <f>'TUSD BE'!$U$28*'TUSD BE'!$U$58</f>
        <v>0</v>
      </c>
      <c r="V28" s="12">
        <f>'TUSD BE'!$V$28*'TUSD BE'!$V$58</f>
        <v>0</v>
      </c>
      <c r="W28" s="12">
        <f>'TUSD BE'!$W$28*'TUSD BE'!$W$58</f>
        <v>0</v>
      </c>
      <c r="X28" s="12">
        <f>'TUSD BE'!$X$28*'TUSD BE'!$X$58</f>
        <v>0</v>
      </c>
      <c r="Y28" s="12">
        <f>'TUSD BE'!$Y$28*'TUSD BE'!$Y$58</f>
        <v>1.0860770316359034</v>
      </c>
      <c r="Z28" s="12">
        <f>'TUSD BE'!$Z$28*'TUSD BE'!$Z$58</f>
        <v>0</v>
      </c>
      <c r="AA28" s="12">
        <f>'TUSD BE'!$AA$28*'TUSD BE'!$AA$58</f>
        <v>0</v>
      </c>
      <c r="AB28" s="12">
        <f>SUM($U$28:$AA$28)</f>
        <v>1.0860770316359034</v>
      </c>
      <c r="AC28" s="12">
        <f>'TUSD BE'!$AC$28*'TUSD BE'!$AC$58</f>
        <v>0</v>
      </c>
      <c r="AD28" s="12">
        <f>SUM($AC$28:$AC$28)</f>
        <v>0</v>
      </c>
      <c r="AE28" s="12">
        <f ca="1">$AO$28*$AO$55</f>
        <v>-4.5554949732004353</v>
      </c>
      <c r="AF28" s="12">
        <f ca="1">$AP$28*$AP$55</f>
        <v>0</v>
      </c>
      <c r="AG28" s="12">
        <f ca="1">SUM($AE$28:$AF$28)</f>
        <v>-4.5554949732004353</v>
      </c>
      <c r="AH28" s="12">
        <f>'TUSD BE'!$AH$28*'TUSD BE'!$AH$58</f>
        <v>0.11072969255837979</v>
      </c>
      <c r="AI28" s="12">
        <f>'TUSD BE'!$AI$28*'TUSD BE'!$AI$58</f>
        <v>0</v>
      </c>
      <c r="AJ28" s="12">
        <f ca="1">'TUSD BE'!$AJ$28*'TUSD BE'!$AJ$58</f>
        <v>0</v>
      </c>
      <c r="AK28" s="12">
        <f ca="1">'TUSD BE'!$AK$28*'TUSD BE'!$AK$58</f>
        <v>0</v>
      </c>
      <c r="AL28" s="12">
        <f ca="1">SUM($AH$28:$AK$28)</f>
        <v>0.11072969255837979</v>
      </c>
      <c r="AM28" s="12">
        <f ca="1">SUMIF($L$4:$AL$4,"SUBTOTAL",$L$28:$AL$28)</f>
        <v>-3.3664468134123036</v>
      </c>
      <c r="AO28" s="20">
        <f ca="1">+'TUSD BE'!$T$28+'TUSD BE'!$AB$28+'TUSD BE'!$AD$28+'TUSD BE'!$AL$28</f>
        <v>182.7086749656597</v>
      </c>
      <c r="AP28" s="20">
        <f ca="1">+'TUSD BE'!$T$28+'TUSD BE'!$AB$28+'TUSD BE'!$AD$28+'TUSD BE'!$AL$28</f>
        <v>182.7086749656597</v>
      </c>
    </row>
    <row r="29" spans="1:42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>
        <f>'TUSD BE'!$L$29*'TUSD BE'!$L$58</f>
        <v>0</v>
      </c>
      <c r="M29" s="12">
        <f>'TUSD BE'!$M$29*'TUSD BE'!$M$58</f>
        <v>-7.7585644061510519E-3</v>
      </c>
      <c r="N29" s="12">
        <f ca="1">'TUSD BE'!$N$29*'TUSD BE'!$N$58</f>
        <v>0</v>
      </c>
      <c r="O29" s="12">
        <f>'TUSD BE'!$O$29*'TUSD BE'!$O$58</f>
        <v>0</v>
      </c>
      <c r="P29" s="12">
        <f>'TUSD BE'!$P$29*'TUSD BE'!$P$58</f>
        <v>0</v>
      </c>
      <c r="Q29" s="12">
        <f>'TUSD BE'!$Q$29*'TUSD BE'!$Q$58</f>
        <v>0</v>
      </c>
      <c r="R29" s="12">
        <f>'TUSD BE'!$R$29*'TUSD BE'!$R$58</f>
        <v>0</v>
      </c>
      <c r="S29" s="12">
        <f>'TUSD BE'!$R$29*'TUSD BE'!$S$58</f>
        <v>0</v>
      </c>
      <c r="T29" s="12">
        <f ca="1">SUM($L$29:$S$29)</f>
        <v>-7.7585644061510519E-3</v>
      </c>
      <c r="U29" s="12">
        <f>'TUSD BE'!$U$29*'TUSD BE'!$U$58</f>
        <v>0</v>
      </c>
      <c r="V29" s="12">
        <f>'TUSD BE'!$V$29*'TUSD BE'!$V$58</f>
        <v>0</v>
      </c>
      <c r="W29" s="12">
        <f>'TUSD BE'!$W$29*'TUSD BE'!$W$58</f>
        <v>0</v>
      </c>
      <c r="X29" s="12">
        <f>'TUSD BE'!$X$29*'TUSD BE'!$X$58</f>
        <v>0</v>
      </c>
      <c r="Y29" s="12">
        <f>'TUSD BE'!$Y$29*'TUSD BE'!$Y$58</f>
        <v>1.0860770316359034</v>
      </c>
      <c r="Z29" s="12">
        <f>'TUSD BE'!$Z$29*'TUSD BE'!$Z$58</f>
        <v>0</v>
      </c>
      <c r="AA29" s="12">
        <f>'TUSD BE'!$AA$29*'TUSD BE'!$AA$58</f>
        <v>0</v>
      </c>
      <c r="AB29" s="12">
        <f>SUM($U$29:$AA$29)</f>
        <v>1.0860770316359034</v>
      </c>
      <c r="AC29" s="12">
        <f>'TUSD BE'!$AC$29*'TUSD BE'!$AC$58</f>
        <v>0</v>
      </c>
      <c r="AD29" s="12">
        <f>SUM($AC$29:$AC$29)</f>
        <v>0</v>
      </c>
      <c r="AE29" s="12">
        <f ca="1">$AO$29*$AO$55</f>
        <v>-4.5554949732004353</v>
      </c>
      <c r="AF29" s="12">
        <f ca="1">$AP$29*$AP$55</f>
        <v>0</v>
      </c>
      <c r="AG29" s="12">
        <f ca="1">SUM($AE$29:$AF$29)</f>
        <v>-4.5554949732004353</v>
      </c>
      <c r="AH29" s="12">
        <f>'TUSD BE'!$AH$29*'TUSD BE'!$AH$58</f>
        <v>0.11072969255837979</v>
      </c>
      <c r="AI29" s="12">
        <f>'TUSD BE'!$AI$29*'TUSD BE'!$AI$58</f>
        <v>0</v>
      </c>
      <c r="AJ29" s="12">
        <f ca="1">'TUSD BE'!$AJ$29*'TUSD BE'!$AJ$58</f>
        <v>0</v>
      </c>
      <c r="AK29" s="12">
        <f ca="1">'TUSD BE'!$AK$29*'TUSD BE'!$AK$58</f>
        <v>0</v>
      </c>
      <c r="AL29" s="12">
        <f ca="1">SUM($AH$29:$AK$29)</f>
        <v>0.11072969255837979</v>
      </c>
      <c r="AM29" s="12">
        <f ca="1">SUMIF($L$4:$AL$4,"SUBTOTAL",$L$29:$AL$29)</f>
        <v>-3.3664468134123036</v>
      </c>
      <c r="AO29" s="20">
        <f ca="1">+'TUSD BE'!$T$29+'TUSD BE'!$AB$29+'TUSD BE'!$AD$29+'TUSD BE'!$AL$29</f>
        <v>182.7086749656597</v>
      </c>
      <c r="AP29" s="20">
        <f ca="1">+'TUSD BE'!$T$29+'TUSD BE'!$AB$29+'TUSD BE'!$AD$29+'TUSD BE'!$AL$29</f>
        <v>182.7086749656597</v>
      </c>
    </row>
    <row r="30" spans="1:42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>
        <f>'TUSD BE'!$L$30*'TUSD BE'!$L$58</f>
        <v>0</v>
      </c>
      <c r="M30" s="12">
        <f>'TUSD BE'!$M$30*'TUSD BE'!$M$58</f>
        <v>-7.7585644061510519E-3</v>
      </c>
      <c r="N30" s="12">
        <f ca="1">'TUSD BE'!$N$30*'TUSD BE'!$N$58</f>
        <v>0</v>
      </c>
      <c r="O30" s="12">
        <f>'TUSD BE'!$O$30*'TUSD BE'!$O$58</f>
        <v>0</v>
      </c>
      <c r="P30" s="12">
        <f>'TUSD BE'!$P$30*'TUSD BE'!$P$58</f>
        <v>0</v>
      </c>
      <c r="Q30" s="12">
        <f>'TUSD BE'!$Q$30*'TUSD BE'!$Q$58</f>
        <v>-1.0099158360270382</v>
      </c>
      <c r="R30" s="12">
        <f>'TUSD BE'!$R$30*'TUSD BE'!$R$58</f>
        <v>-0.15408151593683103</v>
      </c>
      <c r="S30" s="12">
        <f>'TUSD BE'!$R$30*'TUSD BE'!$S$58</f>
        <v>0</v>
      </c>
      <c r="T30" s="12">
        <f ca="1">SUM($L$30:$S$30)</f>
        <v>-1.1717559163700202</v>
      </c>
      <c r="U30" s="12">
        <f>'TUSD BE'!$U$30*'TUSD BE'!$U$58</f>
        <v>0</v>
      </c>
      <c r="V30" s="12">
        <f>'TUSD BE'!$V$30*'TUSD BE'!$V$58</f>
        <v>0</v>
      </c>
      <c r="W30" s="12">
        <f>'TUSD BE'!$W$30*'TUSD BE'!$W$58</f>
        <v>0</v>
      </c>
      <c r="X30" s="12">
        <f>'TUSD BE'!$X$30*'TUSD BE'!$X$58</f>
        <v>0</v>
      </c>
      <c r="Y30" s="12">
        <f>'TUSD BE'!$Y$30*'TUSD BE'!$Y$58</f>
        <v>3.2033973372646587</v>
      </c>
      <c r="Z30" s="12">
        <f>'TUSD BE'!$Z$30*'TUSD BE'!$Z$58</f>
        <v>0</v>
      </c>
      <c r="AA30" s="12">
        <f>'TUSD BE'!$AA$30*'TUSD BE'!$AA$58</f>
        <v>0</v>
      </c>
      <c r="AB30" s="12">
        <f>SUM($U$30:$AA$30)</f>
        <v>3.2033973372646587</v>
      </c>
      <c r="AC30" s="12">
        <f>'TUSD BE'!$AC$30*'TUSD BE'!$AC$58</f>
        <v>0</v>
      </c>
      <c r="AD30" s="12">
        <f>SUM($AC$30:$AC$30)</f>
        <v>0</v>
      </c>
      <c r="AE30" s="12">
        <f ca="1">$AO$30*$AO$55</f>
        <v>-15.344268030511236</v>
      </c>
      <c r="AF30" s="12">
        <f ca="1">$AP$30*$AP$55</f>
        <v>0</v>
      </c>
      <c r="AG30" s="12">
        <f ca="1">SUM($AE$30:$AF$30)</f>
        <v>-15.344268030511236</v>
      </c>
      <c r="AH30" s="12">
        <f>'TUSD BE'!$AH$30*'TUSD BE'!$AH$58</f>
        <v>0.11072969255837979</v>
      </c>
      <c r="AI30" s="12">
        <f>'TUSD BE'!$AI$30*'TUSD BE'!$AI$58</f>
        <v>0</v>
      </c>
      <c r="AJ30" s="12">
        <f ca="1">'TUSD BE'!$AJ$30*'TUSD BE'!$AJ$58</f>
        <v>0</v>
      </c>
      <c r="AK30" s="12">
        <f ca="1">'TUSD BE'!$AK$30*'TUSD BE'!$AK$58</f>
        <v>0</v>
      </c>
      <c r="AL30" s="12">
        <f ca="1">SUM($AH$30:$AK$30)</f>
        <v>0.11072969255837979</v>
      </c>
      <c r="AM30" s="12">
        <f ca="1">SUMIF($L$4:$AL$4,"SUBTOTAL",$L$30:$AL$30)</f>
        <v>-13.201896917058217</v>
      </c>
      <c r="AO30" s="20">
        <f ca="1">+'TUSD BE'!$T$30+'TUSD BE'!$AB$30+'TUSD BE'!$AD$30+'TUSD BE'!$AL$30</f>
        <v>615.41740176765848</v>
      </c>
      <c r="AP30" s="20">
        <f ca="1">+'TUSD BE'!$T$30+'TUSD BE'!$AB$30+'TUSD BE'!$AD$30+'TUSD BE'!$AL$30</f>
        <v>615.41740176765848</v>
      </c>
    </row>
    <row r="31" spans="1:42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>
        <f>'TUSD BE'!$L$31*'TUSD BE'!$L$58</f>
        <v>0</v>
      </c>
      <c r="M31" s="12">
        <f>'TUSD BE'!$M$31*'TUSD BE'!$M$58</f>
        <v>-7.7585644061510519E-3</v>
      </c>
      <c r="N31" s="12">
        <f ca="1">'TUSD BE'!$N$31*'TUSD BE'!$N$58</f>
        <v>0</v>
      </c>
      <c r="O31" s="12">
        <f>'TUSD BE'!$O$31*'TUSD BE'!$O$58</f>
        <v>0</v>
      </c>
      <c r="P31" s="12">
        <f>'TUSD BE'!$P$31*'TUSD BE'!$P$58</f>
        <v>0</v>
      </c>
      <c r="Q31" s="12">
        <f>'TUSD BE'!$Q$31*'TUSD BE'!$Q$58</f>
        <v>-1.0099158360270382</v>
      </c>
      <c r="R31" s="12">
        <f>'TUSD BE'!$R$31*'TUSD BE'!$R$58</f>
        <v>-0.15408151593683103</v>
      </c>
      <c r="S31" s="12">
        <f>'TUSD BE'!$R$31*'TUSD BE'!$S$58</f>
        <v>0</v>
      </c>
      <c r="T31" s="12">
        <f ca="1">SUM($L$31:$S$31)</f>
        <v>-1.1717559163700202</v>
      </c>
      <c r="U31" s="12">
        <f>'TUSD BE'!$U$31*'TUSD BE'!$U$58</f>
        <v>0</v>
      </c>
      <c r="V31" s="12">
        <f>'TUSD BE'!$V$31*'TUSD BE'!$V$58</f>
        <v>0</v>
      </c>
      <c r="W31" s="12">
        <f>'TUSD BE'!$W$31*'TUSD BE'!$W$58</f>
        <v>0</v>
      </c>
      <c r="X31" s="12">
        <f>'TUSD BE'!$X$31*'TUSD BE'!$X$58</f>
        <v>0</v>
      </c>
      <c r="Y31" s="12">
        <f>'TUSD BE'!$Y$31*'TUSD BE'!$Y$58</f>
        <v>1.9214854569035709</v>
      </c>
      <c r="Z31" s="12">
        <f>'TUSD BE'!$Z$31*'TUSD BE'!$Z$58</f>
        <v>0</v>
      </c>
      <c r="AA31" s="12">
        <f>'TUSD BE'!$AA$31*'TUSD BE'!$AA$58</f>
        <v>0</v>
      </c>
      <c r="AB31" s="12">
        <f>SUM($U$31:$AA$31)</f>
        <v>1.9214854569035709</v>
      </c>
      <c r="AC31" s="12">
        <f>'TUSD BE'!$AC$31*'TUSD BE'!$AC$58</f>
        <v>0</v>
      </c>
      <c r="AD31" s="12">
        <f>SUM($AC$31:$AC$31)</f>
        <v>0</v>
      </c>
      <c r="AE31" s="12">
        <f ca="1">$AO$31*$AO$55</f>
        <v>-10.383431527914981</v>
      </c>
      <c r="AF31" s="12">
        <f ca="1">$AP$31*$AP$55</f>
        <v>0</v>
      </c>
      <c r="AG31" s="12">
        <f ca="1">SUM($AE$31:$AF$31)</f>
        <v>-10.383431527914981</v>
      </c>
      <c r="AH31" s="12">
        <f>'TUSD BE'!$AH$31*'TUSD BE'!$AH$58</f>
        <v>0.11072969255837979</v>
      </c>
      <c r="AI31" s="12">
        <f>'TUSD BE'!$AI$31*'TUSD BE'!$AI$58</f>
        <v>0</v>
      </c>
      <c r="AJ31" s="12">
        <f ca="1">'TUSD BE'!$AJ$31*'TUSD BE'!$AJ$58</f>
        <v>0</v>
      </c>
      <c r="AK31" s="12">
        <f ca="1">'TUSD BE'!$AK$31*'TUSD BE'!$AK$58</f>
        <v>0</v>
      </c>
      <c r="AL31" s="12">
        <f ca="1">SUM($AH$31:$AK$31)</f>
        <v>0.11072969255837979</v>
      </c>
      <c r="AM31" s="12">
        <f ca="1">SUMIF($L$4:$AL$4,"SUBTOTAL",$L$31:$AL$31)</f>
        <v>-9.5229722948230506</v>
      </c>
      <c r="AO31" s="20">
        <f ca="1">+'TUSD BE'!$T$31+'TUSD BE'!$AB$31+'TUSD BE'!$AD$31+'TUSD BE'!$AL$31</f>
        <v>416.45156612458635</v>
      </c>
      <c r="AP31" s="20">
        <f ca="1">+'TUSD BE'!$T$31+'TUSD BE'!$AB$31+'TUSD BE'!$AD$31+'TUSD BE'!$AL$31</f>
        <v>416.45156612458635</v>
      </c>
    </row>
    <row r="32" spans="1:42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>
        <f>'TUSD BE'!$L$32*'TUSD BE'!$L$58</f>
        <v>0</v>
      </c>
      <c r="M32" s="12">
        <f>'TUSD BE'!$M$32*'TUSD BE'!$M$58</f>
        <v>-7.7585644061510519E-3</v>
      </c>
      <c r="N32" s="12">
        <f ca="1">'TUSD BE'!$N$32*'TUSD BE'!$N$58</f>
        <v>0</v>
      </c>
      <c r="O32" s="12">
        <f>'TUSD BE'!$O$32*'TUSD BE'!$O$58</f>
        <v>0</v>
      </c>
      <c r="P32" s="12">
        <f>'TUSD BE'!$P$32*'TUSD BE'!$P$58</f>
        <v>0</v>
      </c>
      <c r="Q32" s="12">
        <f>'TUSD BE'!$Q$32*'TUSD BE'!$Q$58</f>
        <v>-1.0099158360270382</v>
      </c>
      <c r="R32" s="12">
        <f>'TUSD BE'!$R$32*'TUSD BE'!$R$58</f>
        <v>-0.15408151593683103</v>
      </c>
      <c r="S32" s="12">
        <f>'TUSD BE'!$R$32*'TUSD BE'!$S$58</f>
        <v>0</v>
      </c>
      <c r="T32" s="12">
        <f ca="1">SUM($L$32:$S$32)</f>
        <v>-1.1717559163700202</v>
      </c>
      <c r="U32" s="12">
        <f>'TUSD BE'!$U$32*'TUSD BE'!$U$58</f>
        <v>0</v>
      </c>
      <c r="V32" s="12">
        <f>'TUSD BE'!$V$32*'TUSD BE'!$V$58</f>
        <v>0</v>
      </c>
      <c r="W32" s="12">
        <f>'TUSD BE'!$W$32*'TUSD BE'!$W$58</f>
        <v>0</v>
      </c>
      <c r="X32" s="12">
        <f>'TUSD BE'!$X$32*'TUSD BE'!$X$58</f>
        <v>0</v>
      </c>
      <c r="Y32" s="12">
        <f>'TUSD BE'!$Y$32*'TUSD BE'!$Y$58</f>
        <v>0.6409559401805438</v>
      </c>
      <c r="Z32" s="12">
        <f>'TUSD BE'!$Z$32*'TUSD BE'!$Z$58</f>
        <v>0</v>
      </c>
      <c r="AA32" s="12">
        <f>'TUSD BE'!$AA$32*'TUSD BE'!$AA$58</f>
        <v>0</v>
      </c>
      <c r="AB32" s="12">
        <f>SUM($U$32:$AA$32)</f>
        <v>0.6409559401805438</v>
      </c>
      <c r="AC32" s="12">
        <f>'TUSD BE'!$AC$32*'TUSD BE'!$AC$58</f>
        <v>0</v>
      </c>
      <c r="AD32" s="12">
        <f>SUM($AC$32:$AC$32)</f>
        <v>0</v>
      </c>
      <c r="AE32" s="12">
        <f ca="1">$AO$32*$AO$55</f>
        <v>-5.4237605127163588</v>
      </c>
      <c r="AF32" s="12">
        <f ca="1">$AP$32*$AP$55</f>
        <v>0</v>
      </c>
      <c r="AG32" s="12">
        <f ca="1">SUM($AE$32:$AF$32)</f>
        <v>-5.4237605127163588</v>
      </c>
      <c r="AH32" s="12">
        <f>'TUSD BE'!$AH$32*'TUSD BE'!$AH$58</f>
        <v>0.11072969255837979</v>
      </c>
      <c r="AI32" s="12">
        <f>'TUSD BE'!$AI$32*'TUSD BE'!$AI$58</f>
        <v>0</v>
      </c>
      <c r="AJ32" s="12">
        <f ca="1">'TUSD BE'!$AJ$32*'TUSD BE'!$AJ$58</f>
        <v>0</v>
      </c>
      <c r="AK32" s="12">
        <f ca="1">'TUSD BE'!$AK$32*'TUSD BE'!$AK$58</f>
        <v>0</v>
      </c>
      <c r="AL32" s="12">
        <f ca="1">SUM($AH$32:$AK$32)</f>
        <v>0.11072969255837979</v>
      </c>
      <c r="AM32" s="12">
        <f ca="1">SUMIF($L$4:$AL$4,"SUBTOTAL",$L$32:$AL$32)</f>
        <v>-5.8438307963474561</v>
      </c>
      <c r="AO32" s="20">
        <f ca="1">+'TUSD BE'!$T$32+'TUSD BE'!$AB$32+'TUSD BE'!$AD$32+'TUSD BE'!$AL$32</f>
        <v>217.53247505249126</v>
      </c>
      <c r="AP32" s="20">
        <f ca="1">+'TUSD BE'!$T$32+'TUSD BE'!$AB$32+'TUSD BE'!$AD$32+'TUSD BE'!$AL$32</f>
        <v>217.53247505249126</v>
      </c>
    </row>
    <row r="33" spans="1:42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>
        <f>'TUSD BE'!$L$33*'TUSD BE'!$L$58</f>
        <v>0</v>
      </c>
      <c r="M33" s="12">
        <f>'TUSD BE'!$M$33*'TUSD BE'!$M$58</f>
        <v>-7.7585644061510519E-3</v>
      </c>
      <c r="N33" s="12">
        <f ca="1">'TUSD BE'!$N$33*'TUSD BE'!$N$58</f>
        <v>0</v>
      </c>
      <c r="O33" s="12">
        <f>'TUSD BE'!$O$33*'TUSD BE'!$O$58</f>
        <v>0</v>
      </c>
      <c r="P33" s="12">
        <f>'TUSD BE'!$P$33*'TUSD BE'!$P$58</f>
        <v>0</v>
      </c>
      <c r="Q33" s="12">
        <f>'TUSD BE'!$Q$33*'TUSD BE'!$Q$58</f>
        <v>-1.0099158360270382</v>
      </c>
      <c r="R33" s="12">
        <f>'TUSD BE'!$R$33*'TUSD BE'!$R$58</f>
        <v>-0.15408151593683103</v>
      </c>
      <c r="S33" s="12">
        <f>'TUSD BE'!$R$33*'TUSD BE'!$S$58</f>
        <v>0</v>
      </c>
      <c r="T33" s="12">
        <f ca="1">SUM($L$33:$S$33)</f>
        <v>-1.1717559163700202</v>
      </c>
      <c r="U33" s="12">
        <f>'TUSD BE'!$U$33*'TUSD BE'!$U$58</f>
        <v>0</v>
      </c>
      <c r="V33" s="12">
        <f>'TUSD BE'!$V$33*'TUSD BE'!$V$58</f>
        <v>0</v>
      </c>
      <c r="W33" s="12">
        <f>'TUSD BE'!$W$33*'TUSD BE'!$W$58</f>
        <v>0</v>
      </c>
      <c r="X33" s="12">
        <f>'TUSD BE'!$X$33*'TUSD BE'!$X$58</f>
        <v>0</v>
      </c>
      <c r="Y33" s="12">
        <f>'TUSD BE'!$Y$33*'TUSD BE'!$Y$58</f>
        <v>1.0860770316359034</v>
      </c>
      <c r="Z33" s="12">
        <f>'TUSD BE'!$Z$33*'TUSD BE'!$Z$58</f>
        <v>0</v>
      </c>
      <c r="AA33" s="12">
        <f>'TUSD BE'!$AA$33*'TUSD BE'!$AA$58</f>
        <v>0</v>
      </c>
      <c r="AB33" s="12">
        <f>SUM($U$33:$AA$33)</f>
        <v>1.0860770316359034</v>
      </c>
      <c r="AC33" s="12">
        <f>'TUSD BE'!$AC$33*'TUSD BE'!$AC$58</f>
        <v>0</v>
      </c>
      <c r="AD33" s="12">
        <f>SUM($AC$33:$AC$33)</f>
        <v>0</v>
      </c>
      <c r="AE33" s="12">
        <f ca="1">$AO$33*$AO$55</f>
        <v>-7.1471966105497247</v>
      </c>
      <c r="AF33" s="12">
        <f ca="1">$AP$33*$AP$55</f>
        <v>0</v>
      </c>
      <c r="AG33" s="12">
        <f ca="1">SUM($AE$33:$AF$33)</f>
        <v>-7.1471966105497247</v>
      </c>
      <c r="AH33" s="12">
        <f>'TUSD BE'!$AH$33*'TUSD BE'!$AH$58</f>
        <v>0.11072969255837979</v>
      </c>
      <c r="AI33" s="12">
        <f>'TUSD BE'!$AI$33*'TUSD BE'!$AI$58</f>
        <v>0</v>
      </c>
      <c r="AJ33" s="12">
        <f ca="1">'TUSD BE'!$AJ$33*'TUSD BE'!$AJ$58</f>
        <v>0</v>
      </c>
      <c r="AK33" s="12">
        <f ca="1">'TUSD BE'!$AK$33*'TUSD BE'!$AK$58</f>
        <v>0</v>
      </c>
      <c r="AL33" s="12">
        <f ca="1">SUM($AH$33:$AK$33)</f>
        <v>0.11072969255837979</v>
      </c>
      <c r="AM33" s="12">
        <f ca="1">SUMIF($L$4:$AL$4,"SUBTOTAL",$L$33:$AL$33)</f>
        <v>-7.1221458027254618</v>
      </c>
      <c r="AO33" s="20">
        <f ca="1">+'TUSD BE'!$T$33+'TUSD BE'!$AB$33+'TUSD BE'!$AD$33+'TUSD BE'!$AL$33</f>
        <v>286.65487068141226</v>
      </c>
      <c r="AP33" s="20">
        <f ca="1">+'TUSD BE'!$T$33+'TUSD BE'!$AB$33+'TUSD BE'!$AD$33+'TUSD BE'!$AL$33</f>
        <v>286.65487068141226</v>
      </c>
    </row>
    <row r="34" spans="1:42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>
        <f>'TUSD BE'!$L$34*'TUSD BE'!$L$58</f>
        <v>0</v>
      </c>
      <c r="M34" s="12">
        <f>'TUSD BE'!$M$34*'TUSD BE'!$M$58</f>
        <v>-7.7585644061510519E-3</v>
      </c>
      <c r="N34" s="12">
        <f ca="1">'TUSD BE'!$N$34*'TUSD BE'!$N$58</f>
        <v>0</v>
      </c>
      <c r="O34" s="12">
        <f>'TUSD BE'!$O$34*'TUSD BE'!$O$58</f>
        <v>0</v>
      </c>
      <c r="P34" s="12">
        <f>'TUSD BE'!$P$34*'TUSD BE'!$P$58</f>
        <v>0</v>
      </c>
      <c r="Q34" s="12">
        <f>'TUSD BE'!$Q$34*'TUSD BE'!$Q$58</f>
        <v>-1.0099158360270382</v>
      </c>
      <c r="R34" s="12">
        <f>'TUSD BE'!$R$34*'TUSD BE'!$R$58</f>
        <v>-0.15408151593683103</v>
      </c>
      <c r="S34" s="12">
        <f>'TUSD BE'!$R$34*'TUSD BE'!$S$58</f>
        <v>0</v>
      </c>
      <c r="T34" s="12">
        <f ca="1">SUM($L$34:$S$34)</f>
        <v>-1.1717559163700202</v>
      </c>
      <c r="U34" s="12">
        <f>'TUSD BE'!$U$34*'TUSD BE'!$U$58</f>
        <v>0</v>
      </c>
      <c r="V34" s="12">
        <f>'TUSD BE'!$V$34*'TUSD BE'!$V$58</f>
        <v>0</v>
      </c>
      <c r="W34" s="12">
        <f>'TUSD BE'!$W$34*'TUSD BE'!$W$58</f>
        <v>0</v>
      </c>
      <c r="X34" s="12">
        <f>'TUSD BE'!$X$34*'TUSD BE'!$X$58</f>
        <v>0</v>
      </c>
      <c r="Y34" s="12">
        <f>'TUSD BE'!$Y$34*'TUSD BE'!$Y$58</f>
        <v>3.2033973372646587</v>
      </c>
      <c r="Z34" s="12">
        <f>'TUSD BE'!$Z$34*'TUSD BE'!$Z$58</f>
        <v>0</v>
      </c>
      <c r="AA34" s="12">
        <f>'TUSD BE'!$AA$34*'TUSD BE'!$AA$58</f>
        <v>0</v>
      </c>
      <c r="AB34" s="12">
        <f>SUM($U$34:$AA$34)</f>
        <v>3.2033973372646587</v>
      </c>
      <c r="AC34" s="12">
        <f>'TUSD BE'!$AC$34*'TUSD BE'!$AC$58</f>
        <v>0</v>
      </c>
      <c r="AD34" s="12">
        <f>SUM($AC$34:$AC$34)</f>
        <v>0</v>
      </c>
      <c r="AE34" s="12">
        <f ca="1">$AO$34*$AO$55</f>
        <v>-15.344268030511236</v>
      </c>
      <c r="AF34" s="12">
        <f ca="1">$AP$34*$AP$55</f>
        <v>0</v>
      </c>
      <c r="AG34" s="12">
        <f ca="1">SUM($AE$34:$AF$34)</f>
        <v>-15.344268030511236</v>
      </c>
      <c r="AH34" s="12">
        <f>'TUSD BE'!$AH$34*'TUSD BE'!$AH$58</f>
        <v>0.11072969255837979</v>
      </c>
      <c r="AI34" s="12">
        <f>'TUSD BE'!$AI$34*'TUSD BE'!$AI$58</f>
        <v>0</v>
      </c>
      <c r="AJ34" s="12">
        <f ca="1">'TUSD BE'!$AJ$34*'TUSD BE'!$AJ$58</f>
        <v>0</v>
      </c>
      <c r="AK34" s="12">
        <f ca="1">'TUSD BE'!$AK$34*'TUSD BE'!$AK$58</f>
        <v>0</v>
      </c>
      <c r="AL34" s="12">
        <f ca="1">SUM($AH$34:$AK$34)</f>
        <v>0.11072969255837979</v>
      </c>
      <c r="AM34" s="12">
        <f ca="1">SUMIF($L$4:$AL$4,"SUBTOTAL",$L$34:$AL$34)</f>
        <v>-13.201896917058217</v>
      </c>
      <c r="AO34" s="20">
        <f ca="1">+'TUSD BE'!$T$34+'TUSD BE'!$AB$34+'TUSD BE'!$AD$34+'TUSD BE'!$AL$34</f>
        <v>615.41740176765848</v>
      </c>
      <c r="AP34" s="20">
        <f ca="1">+'TUSD BE'!$T$34+'TUSD BE'!$AB$34+'TUSD BE'!$AD$34+'TUSD BE'!$AL$34</f>
        <v>615.41740176765848</v>
      </c>
    </row>
    <row r="35" spans="1:42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>
        <f>'TUSD BE'!$L$35*'TUSD BE'!$L$58</f>
        <v>0</v>
      </c>
      <c r="M35" s="12">
        <f>'TUSD BE'!$M$35*'TUSD BE'!$M$58</f>
        <v>-7.7585644061510519E-3</v>
      </c>
      <c r="N35" s="12">
        <f ca="1">'TUSD BE'!$N$35*'TUSD BE'!$N$58</f>
        <v>0</v>
      </c>
      <c r="O35" s="12">
        <f>'TUSD BE'!$O$35*'TUSD BE'!$O$58</f>
        <v>0</v>
      </c>
      <c r="P35" s="12">
        <f>'TUSD BE'!$P$35*'TUSD BE'!$P$58</f>
        <v>0</v>
      </c>
      <c r="Q35" s="12">
        <f>'TUSD BE'!$Q$35*'TUSD BE'!$Q$58</f>
        <v>-1.0099158360270382</v>
      </c>
      <c r="R35" s="12">
        <f>'TUSD BE'!$R$35*'TUSD BE'!$R$58</f>
        <v>-0.15408151593683103</v>
      </c>
      <c r="S35" s="12">
        <f>'TUSD BE'!$R$35*'TUSD BE'!$S$58</f>
        <v>0</v>
      </c>
      <c r="T35" s="12">
        <f ca="1">SUM($L$35:$S$35)</f>
        <v>-1.1717559163700202</v>
      </c>
      <c r="U35" s="12">
        <f>'TUSD BE'!$U$35*'TUSD BE'!$U$58</f>
        <v>0</v>
      </c>
      <c r="V35" s="12">
        <f>'TUSD BE'!$V$35*'TUSD BE'!$V$58</f>
        <v>0</v>
      </c>
      <c r="W35" s="12">
        <f>'TUSD BE'!$W$35*'TUSD BE'!$W$58</f>
        <v>0</v>
      </c>
      <c r="X35" s="12">
        <f>'TUSD BE'!$X$35*'TUSD BE'!$X$58</f>
        <v>0</v>
      </c>
      <c r="Y35" s="12">
        <f>'TUSD BE'!$Y$35*'TUSD BE'!$Y$58</f>
        <v>1.9214854569035709</v>
      </c>
      <c r="Z35" s="12">
        <f>'TUSD BE'!$Z$35*'TUSD BE'!$Z$58</f>
        <v>0</v>
      </c>
      <c r="AA35" s="12">
        <f>'TUSD BE'!$AA$35*'TUSD BE'!$AA$58</f>
        <v>0</v>
      </c>
      <c r="AB35" s="12">
        <f>SUM($U$35:$AA$35)</f>
        <v>1.9214854569035709</v>
      </c>
      <c r="AC35" s="12">
        <f>'TUSD BE'!$AC$35*'TUSD BE'!$AC$58</f>
        <v>0</v>
      </c>
      <c r="AD35" s="12">
        <f>SUM($AC$35:$AC$35)</f>
        <v>0</v>
      </c>
      <c r="AE35" s="12">
        <f ca="1">$AO$35*$AO$55</f>
        <v>-10.383431527914981</v>
      </c>
      <c r="AF35" s="12">
        <f ca="1">$AP$35*$AP$55</f>
        <v>0</v>
      </c>
      <c r="AG35" s="12">
        <f ca="1">SUM($AE$35:$AF$35)</f>
        <v>-10.383431527914981</v>
      </c>
      <c r="AH35" s="12">
        <f>'TUSD BE'!$AH$35*'TUSD BE'!$AH$58</f>
        <v>0.11072969255837979</v>
      </c>
      <c r="AI35" s="12">
        <f>'TUSD BE'!$AI$35*'TUSD BE'!$AI$58</f>
        <v>0</v>
      </c>
      <c r="AJ35" s="12">
        <f ca="1">'TUSD BE'!$AJ$35*'TUSD BE'!$AJ$58</f>
        <v>0</v>
      </c>
      <c r="AK35" s="12">
        <f ca="1">'TUSD BE'!$AK$35*'TUSD BE'!$AK$58</f>
        <v>0</v>
      </c>
      <c r="AL35" s="12">
        <f ca="1">SUM($AH$35:$AK$35)</f>
        <v>0.11072969255837979</v>
      </c>
      <c r="AM35" s="12">
        <f ca="1">SUMIF($L$4:$AL$4,"SUBTOTAL",$L$35:$AL$35)</f>
        <v>-9.5229722948230506</v>
      </c>
      <c r="AO35" s="20">
        <f ca="1">+'TUSD BE'!$T$35+'TUSD BE'!$AB$35+'TUSD BE'!$AD$35+'TUSD BE'!$AL$35</f>
        <v>416.45156612458635</v>
      </c>
      <c r="AP35" s="20">
        <f ca="1">+'TUSD BE'!$T$35+'TUSD BE'!$AB$35+'TUSD BE'!$AD$35+'TUSD BE'!$AL$35</f>
        <v>416.45156612458635</v>
      </c>
    </row>
    <row r="36" spans="1:42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>
        <f>'TUSD BE'!$L$36*'TUSD BE'!$L$58</f>
        <v>0</v>
      </c>
      <c r="M36" s="12">
        <f>'TUSD BE'!$M$36*'TUSD BE'!$M$58</f>
        <v>-7.7585644061510519E-3</v>
      </c>
      <c r="N36" s="12">
        <f ca="1">'TUSD BE'!$N$36*'TUSD BE'!$N$58</f>
        <v>0</v>
      </c>
      <c r="O36" s="12">
        <f>'TUSD BE'!$O$36*'TUSD BE'!$O$58</f>
        <v>0</v>
      </c>
      <c r="P36" s="12">
        <f>'TUSD BE'!$P$36*'TUSD BE'!$P$58</f>
        <v>0</v>
      </c>
      <c r="Q36" s="12">
        <f>'TUSD BE'!$Q$36*'TUSD BE'!$Q$58</f>
        <v>-1.0099158360270382</v>
      </c>
      <c r="R36" s="12">
        <f>'TUSD BE'!$R$36*'TUSD BE'!$R$58</f>
        <v>-0.15408151593683103</v>
      </c>
      <c r="S36" s="12">
        <f>'TUSD BE'!$R$36*'TUSD BE'!$S$58</f>
        <v>0</v>
      </c>
      <c r="T36" s="12">
        <f ca="1">SUM($L$36:$S$36)</f>
        <v>-1.1717559163700202</v>
      </c>
      <c r="U36" s="12">
        <f>'TUSD BE'!$U$36*'TUSD BE'!$U$58</f>
        <v>0</v>
      </c>
      <c r="V36" s="12">
        <f>'TUSD BE'!$V$36*'TUSD BE'!$V$58</f>
        <v>0</v>
      </c>
      <c r="W36" s="12">
        <f>'TUSD BE'!$W$36*'TUSD BE'!$W$58</f>
        <v>0</v>
      </c>
      <c r="X36" s="12">
        <f>'TUSD BE'!$X$36*'TUSD BE'!$X$58</f>
        <v>0</v>
      </c>
      <c r="Y36" s="12">
        <f>'TUSD BE'!$Y$36*'TUSD BE'!$Y$58</f>
        <v>0.6409559401805438</v>
      </c>
      <c r="Z36" s="12">
        <f>'TUSD BE'!$Z$36*'TUSD BE'!$Z$58</f>
        <v>0</v>
      </c>
      <c r="AA36" s="12">
        <f>'TUSD BE'!$AA$36*'TUSD BE'!$AA$58</f>
        <v>0</v>
      </c>
      <c r="AB36" s="12">
        <f>SUM($U$36:$AA$36)</f>
        <v>0.6409559401805438</v>
      </c>
      <c r="AC36" s="12">
        <f>'TUSD BE'!$AC$36*'TUSD BE'!$AC$58</f>
        <v>0</v>
      </c>
      <c r="AD36" s="12">
        <f>SUM($AC$36:$AC$36)</f>
        <v>0</v>
      </c>
      <c r="AE36" s="12">
        <f ca="1">$AO$36*$AO$55</f>
        <v>-5.4237605127163588</v>
      </c>
      <c r="AF36" s="12">
        <f ca="1">$AP$36*$AP$55</f>
        <v>0</v>
      </c>
      <c r="AG36" s="12">
        <f ca="1">SUM($AE$36:$AF$36)</f>
        <v>-5.4237605127163588</v>
      </c>
      <c r="AH36" s="12">
        <f>'TUSD BE'!$AH$36*'TUSD BE'!$AH$58</f>
        <v>0.11072969255837979</v>
      </c>
      <c r="AI36" s="12">
        <f>'TUSD BE'!$AI$36*'TUSD BE'!$AI$58</f>
        <v>0</v>
      </c>
      <c r="AJ36" s="12">
        <f ca="1">'TUSD BE'!$AJ$36*'TUSD BE'!$AJ$58</f>
        <v>0</v>
      </c>
      <c r="AK36" s="12">
        <f ca="1">'TUSD BE'!$AK$36*'TUSD BE'!$AK$58</f>
        <v>0</v>
      </c>
      <c r="AL36" s="12">
        <f ca="1">SUM($AH$36:$AK$36)</f>
        <v>0.11072969255837979</v>
      </c>
      <c r="AM36" s="12">
        <f ca="1">SUMIF($L$4:$AL$4,"SUBTOTAL",$L$36:$AL$36)</f>
        <v>-5.8438307963474561</v>
      </c>
      <c r="AO36" s="20">
        <f ca="1">+'TUSD BE'!$T$36+'TUSD BE'!$AB$36+'TUSD BE'!$AD$36+'TUSD BE'!$AL$36</f>
        <v>217.53247505249126</v>
      </c>
      <c r="AP36" s="20">
        <f ca="1">+'TUSD BE'!$T$36+'TUSD BE'!$AB$36+'TUSD BE'!$AD$36+'TUSD BE'!$AL$36</f>
        <v>217.53247505249126</v>
      </c>
    </row>
    <row r="37" spans="1:42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>
        <f>'TUSD BE'!$L$37*'TUSD BE'!$L$58</f>
        <v>0</v>
      </c>
      <c r="M37" s="12">
        <f>'TUSD BE'!$M$37*'TUSD BE'!$M$58</f>
        <v>-7.7585644061510519E-3</v>
      </c>
      <c r="N37" s="12">
        <f ca="1">'TUSD BE'!$N$37*'TUSD BE'!$N$58</f>
        <v>0</v>
      </c>
      <c r="O37" s="12">
        <f>'TUSD BE'!$O$37*'TUSD BE'!$O$58</f>
        <v>0</v>
      </c>
      <c r="P37" s="12">
        <f>'TUSD BE'!$P$37*'TUSD BE'!$P$58</f>
        <v>0</v>
      </c>
      <c r="Q37" s="12">
        <f>'TUSD BE'!$Q$37*'TUSD BE'!$Q$58</f>
        <v>-1.0099158360270382</v>
      </c>
      <c r="R37" s="12">
        <f>'TUSD BE'!$R$37*'TUSD BE'!$R$58</f>
        <v>-0.15408151593683103</v>
      </c>
      <c r="S37" s="12">
        <f>'TUSD BE'!$R$37*'TUSD BE'!$S$58</f>
        <v>0</v>
      </c>
      <c r="T37" s="12">
        <f ca="1">SUM($L$37:$S$37)</f>
        <v>-1.1717559163700202</v>
      </c>
      <c r="U37" s="12">
        <f>'TUSD BE'!$U$37*'TUSD BE'!$U$58</f>
        <v>0</v>
      </c>
      <c r="V37" s="12">
        <f>'TUSD BE'!$V$37*'TUSD BE'!$V$58</f>
        <v>0</v>
      </c>
      <c r="W37" s="12">
        <f>'TUSD BE'!$W$37*'TUSD BE'!$W$58</f>
        <v>0</v>
      </c>
      <c r="X37" s="12">
        <f>'TUSD BE'!$X$37*'TUSD BE'!$X$58</f>
        <v>0</v>
      </c>
      <c r="Y37" s="12">
        <f>'TUSD BE'!$Y$37*'TUSD BE'!$Y$58</f>
        <v>1.0860770316359034</v>
      </c>
      <c r="Z37" s="12">
        <f>'TUSD BE'!$Z$37*'TUSD BE'!$Z$58</f>
        <v>0</v>
      </c>
      <c r="AA37" s="12">
        <f>'TUSD BE'!$AA$37*'TUSD BE'!$AA$58</f>
        <v>0</v>
      </c>
      <c r="AB37" s="12">
        <f>SUM($U$37:$AA$37)</f>
        <v>1.0860770316359034</v>
      </c>
      <c r="AC37" s="12">
        <f>'TUSD BE'!$AC$37*'TUSD BE'!$AC$58</f>
        <v>0</v>
      </c>
      <c r="AD37" s="12">
        <f>SUM($AC$37:$AC$37)</f>
        <v>0</v>
      </c>
      <c r="AE37" s="12">
        <f ca="1">$AO$37*$AO$55</f>
        <v>-7.1471966105497247</v>
      </c>
      <c r="AF37" s="12">
        <f ca="1">$AP$37*$AP$55</f>
        <v>0</v>
      </c>
      <c r="AG37" s="12">
        <f ca="1">SUM($AE$37:$AF$37)</f>
        <v>-7.1471966105497247</v>
      </c>
      <c r="AH37" s="12">
        <f>'TUSD BE'!$AH$37*'TUSD BE'!$AH$58</f>
        <v>0.11072969255837979</v>
      </c>
      <c r="AI37" s="12">
        <f>'TUSD BE'!$AI$37*'TUSD BE'!$AI$58</f>
        <v>0</v>
      </c>
      <c r="AJ37" s="12">
        <f ca="1">'TUSD BE'!$AJ$37*'TUSD BE'!$AJ$58</f>
        <v>0</v>
      </c>
      <c r="AK37" s="12">
        <f ca="1">'TUSD BE'!$AK$37*'TUSD BE'!$AK$58</f>
        <v>0</v>
      </c>
      <c r="AL37" s="12">
        <f ca="1">SUM($AH$37:$AK$37)</f>
        <v>0.11072969255837979</v>
      </c>
      <c r="AM37" s="12">
        <f ca="1">SUMIF($L$4:$AL$4,"SUBTOTAL",$L$37:$AL$37)</f>
        <v>-7.1221458027254618</v>
      </c>
      <c r="AO37" s="20">
        <f ca="1">+'TUSD BE'!$T$37+'TUSD BE'!$AB$37+'TUSD BE'!$AD$37+'TUSD BE'!$AL$37</f>
        <v>286.65487068141226</v>
      </c>
      <c r="AP37" s="20">
        <f ca="1">+'TUSD BE'!$T$37+'TUSD BE'!$AB$37+'TUSD BE'!$AD$37+'TUSD BE'!$AL$37</f>
        <v>286.65487068141226</v>
      </c>
    </row>
    <row r="38" spans="1:42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>
        <f>'TUSD BE'!$L$38*'TUSD BE'!$L$58</f>
        <v>0</v>
      </c>
      <c r="M38" s="12">
        <f>'TUSD BE'!$M$38*'TUSD BE'!$M$58</f>
        <v>-7.7585644061510519E-3</v>
      </c>
      <c r="N38" s="12">
        <f ca="1">'TUSD BE'!$N$38*'TUSD BE'!$N$58</f>
        <v>0</v>
      </c>
      <c r="O38" s="12">
        <f>'TUSD BE'!$O$38*'TUSD BE'!$O$58</f>
        <v>0</v>
      </c>
      <c r="P38" s="12">
        <f>'TUSD BE'!$P$38*'TUSD BE'!$P$58</f>
        <v>0</v>
      </c>
      <c r="Q38" s="12">
        <f>'TUSD BE'!$Q$38*'TUSD BE'!$Q$58</f>
        <v>-1.0099158360270382</v>
      </c>
      <c r="R38" s="12">
        <f>'TUSD BE'!$R$38*'TUSD BE'!$R$58</f>
        <v>-0.15408151593683103</v>
      </c>
      <c r="S38" s="12">
        <f>'TUSD BE'!$R$38*'TUSD BE'!$S$58</f>
        <v>0</v>
      </c>
      <c r="T38" s="12">
        <f ca="1">SUM($L$38:$S$38)</f>
        <v>-1.1717559163700202</v>
      </c>
      <c r="U38" s="12">
        <f>'TUSD BE'!$U$38*'TUSD BE'!$U$58</f>
        <v>0</v>
      </c>
      <c r="V38" s="12">
        <f>'TUSD BE'!$V$38*'TUSD BE'!$V$58</f>
        <v>0</v>
      </c>
      <c r="W38" s="12">
        <f>'TUSD BE'!$W$38*'TUSD BE'!$W$58</f>
        <v>0</v>
      </c>
      <c r="X38" s="12">
        <f>'TUSD BE'!$X$38*'TUSD BE'!$X$58</f>
        <v>0</v>
      </c>
      <c r="Y38" s="12">
        <f>'TUSD BE'!$Y$38*'TUSD BE'!$Y$58</f>
        <v>3.2033973372646587</v>
      </c>
      <c r="Z38" s="12">
        <f>'TUSD BE'!$Z$38*'TUSD BE'!$Z$58</f>
        <v>0</v>
      </c>
      <c r="AA38" s="12">
        <f>'TUSD BE'!$AA$38*'TUSD BE'!$AA$58</f>
        <v>0</v>
      </c>
      <c r="AB38" s="12">
        <f>SUM($U$38:$AA$38)</f>
        <v>3.2033973372646587</v>
      </c>
      <c r="AC38" s="12">
        <f>'TUSD BE'!$AC$38*'TUSD BE'!$AC$58</f>
        <v>0</v>
      </c>
      <c r="AD38" s="12">
        <f>SUM($AC$38:$AC$38)</f>
        <v>0</v>
      </c>
      <c r="AE38" s="12">
        <f ca="1">$AO$38*$AO$55</f>
        <v>-15.344268030511236</v>
      </c>
      <c r="AF38" s="12">
        <f ca="1">$AP$38*$AP$55</f>
        <v>0</v>
      </c>
      <c r="AG38" s="12">
        <f ca="1">SUM($AE$38:$AF$38)</f>
        <v>-15.344268030511236</v>
      </c>
      <c r="AH38" s="12">
        <f>'TUSD BE'!$AH$38*'TUSD BE'!$AH$58</f>
        <v>0.11072969255837979</v>
      </c>
      <c r="AI38" s="12">
        <f>'TUSD BE'!$AI$38*'TUSD BE'!$AI$58</f>
        <v>0</v>
      </c>
      <c r="AJ38" s="12">
        <f ca="1">'TUSD BE'!$AJ$38*'TUSD BE'!$AJ$58</f>
        <v>0</v>
      </c>
      <c r="AK38" s="12">
        <f ca="1">'TUSD BE'!$AK$38*'TUSD BE'!$AK$58</f>
        <v>0</v>
      </c>
      <c r="AL38" s="12">
        <f ca="1">SUM($AH$38:$AK$38)</f>
        <v>0.11072969255837979</v>
      </c>
      <c r="AM38" s="12">
        <f ca="1">SUMIF($L$4:$AL$4,"SUBTOTAL",$L$38:$AL$38)</f>
        <v>-13.201896917058217</v>
      </c>
      <c r="AO38" s="20">
        <f ca="1">+'TUSD BE'!$T$38+'TUSD BE'!$AB$38+'TUSD BE'!$AD$38+'TUSD BE'!$AL$38</f>
        <v>615.41740176765848</v>
      </c>
      <c r="AP38" s="20">
        <f ca="1">+'TUSD BE'!$T$38+'TUSD BE'!$AB$38+'TUSD BE'!$AD$38+'TUSD BE'!$AL$38</f>
        <v>615.41740176765848</v>
      </c>
    </row>
    <row r="39" spans="1:42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>
        <f>'TUSD BE'!$L$39*'TUSD BE'!$L$58</f>
        <v>0</v>
      </c>
      <c r="M39" s="12">
        <f>'TUSD BE'!$M$39*'TUSD BE'!$M$58</f>
        <v>-7.7585644061510519E-3</v>
      </c>
      <c r="N39" s="12">
        <f ca="1">'TUSD BE'!$N$39*'TUSD BE'!$N$58</f>
        <v>0</v>
      </c>
      <c r="O39" s="12">
        <f>'TUSD BE'!$O$39*'TUSD BE'!$O$58</f>
        <v>0</v>
      </c>
      <c r="P39" s="12">
        <f>'TUSD BE'!$P$39*'TUSD BE'!$P$58</f>
        <v>0</v>
      </c>
      <c r="Q39" s="12">
        <f>'TUSD BE'!$Q$39*'TUSD BE'!$Q$58</f>
        <v>-1.0099158360270382</v>
      </c>
      <c r="R39" s="12">
        <f>'TUSD BE'!$R$39*'TUSD BE'!$R$58</f>
        <v>-0.15408151593683103</v>
      </c>
      <c r="S39" s="12">
        <f>'TUSD BE'!$R$39*'TUSD BE'!$S$58</f>
        <v>0</v>
      </c>
      <c r="T39" s="12">
        <f ca="1">SUM($L$39:$S$39)</f>
        <v>-1.1717559163700202</v>
      </c>
      <c r="U39" s="12">
        <f>'TUSD BE'!$U$39*'TUSD BE'!$U$58</f>
        <v>0</v>
      </c>
      <c r="V39" s="12">
        <f>'TUSD BE'!$V$39*'TUSD BE'!$V$58</f>
        <v>0</v>
      </c>
      <c r="W39" s="12">
        <f>'TUSD BE'!$W$39*'TUSD BE'!$W$58</f>
        <v>0</v>
      </c>
      <c r="X39" s="12">
        <f>'TUSD BE'!$X$39*'TUSD BE'!$X$58</f>
        <v>0</v>
      </c>
      <c r="Y39" s="12">
        <f>'TUSD BE'!$Y$39*'TUSD BE'!$Y$58</f>
        <v>1.9214854569035709</v>
      </c>
      <c r="Z39" s="12">
        <f>'TUSD BE'!$Z$39*'TUSD BE'!$Z$58</f>
        <v>0</v>
      </c>
      <c r="AA39" s="12">
        <f>'TUSD BE'!$AA$39*'TUSD BE'!$AA$58</f>
        <v>0</v>
      </c>
      <c r="AB39" s="12">
        <f>SUM($U$39:$AA$39)</f>
        <v>1.9214854569035709</v>
      </c>
      <c r="AC39" s="12">
        <f>'TUSD BE'!$AC$39*'TUSD BE'!$AC$58</f>
        <v>0</v>
      </c>
      <c r="AD39" s="12">
        <f>SUM($AC$39:$AC$39)</f>
        <v>0</v>
      </c>
      <c r="AE39" s="12">
        <f ca="1">$AO$39*$AO$55</f>
        <v>-10.383431527914981</v>
      </c>
      <c r="AF39" s="12">
        <f ca="1">$AP$39*$AP$55</f>
        <v>0</v>
      </c>
      <c r="AG39" s="12">
        <f ca="1">SUM($AE$39:$AF$39)</f>
        <v>-10.383431527914981</v>
      </c>
      <c r="AH39" s="12">
        <f>'TUSD BE'!$AH$39*'TUSD BE'!$AH$58</f>
        <v>0.11072969255837979</v>
      </c>
      <c r="AI39" s="12">
        <f>'TUSD BE'!$AI$39*'TUSD BE'!$AI$58</f>
        <v>0</v>
      </c>
      <c r="AJ39" s="12">
        <f ca="1">'TUSD BE'!$AJ$39*'TUSD BE'!$AJ$58</f>
        <v>0</v>
      </c>
      <c r="AK39" s="12">
        <f ca="1">'TUSD BE'!$AK$39*'TUSD BE'!$AK$58</f>
        <v>0</v>
      </c>
      <c r="AL39" s="12">
        <f ca="1">SUM($AH$39:$AK$39)</f>
        <v>0.11072969255837979</v>
      </c>
      <c r="AM39" s="12">
        <f ca="1">SUMIF($L$4:$AL$4,"SUBTOTAL",$L$39:$AL$39)</f>
        <v>-9.5229722948230506</v>
      </c>
      <c r="AO39" s="20">
        <f ca="1">+'TUSD BE'!$T$39+'TUSD BE'!$AB$39+'TUSD BE'!$AD$39+'TUSD BE'!$AL$39</f>
        <v>416.45156612458635</v>
      </c>
      <c r="AP39" s="20">
        <f ca="1">+'TUSD BE'!$T$39+'TUSD BE'!$AB$39+'TUSD BE'!$AD$39+'TUSD BE'!$AL$39</f>
        <v>416.45156612458635</v>
      </c>
    </row>
    <row r="40" spans="1:42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>
        <f>'TUSD BE'!$L$40*'TUSD BE'!$L$58</f>
        <v>0</v>
      </c>
      <c r="M40" s="12">
        <f>'TUSD BE'!$M$40*'TUSD BE'!$M$58</f>
        <v>-7.7585644061510519E-3</v>
      </c>
      <c r="N40" s="12">
        <f ca="1">'TUSD BE'!$N$40*'TUSD BE'!$N$58</f>
        <v>0</v>
      </c>
      <c r="O40" s="12">
        <f>'TUSD BE'!$O$40*'TUSD BE'!$O$58</f>
        <v>0</v>
      </c>
      <c r="P40" s="12">
        <f>'TUSD BE'!$P$40*'TUSD BE'!$P$58</f>
        <v>0</v>
      </c>
      <c r="Q40" s="12">
        <f>'TUSD BE'!$Q$40*'TUSD BE'!$Q$58</f>
        <v>-1.0099158360270382</v>
      </c>
      <c r="R40" s="12">
        <f>'TUSD BE'!$R$40*'TUSD BE'!$R$58</f>
        <v>-0.15408151593683103</v>
      </c>
      <c r="S40" s="12">
        <f>'TUSD BE'!$R$40*'TUSD BE'!$S$58</f>
        <v>0</v>
      </c>
      <c r="T40" s="12">
        <f ca="1">SUM($L$40:$S$40)</f>
        <v>-1.1717559163700202</v>
      </c>
      <c r="U40" s="12">
        <f>'TUSD BE'!$U$40*'TUSD BE'!$U$58</f>
        <v>0</v>
      </c>
      <c r="V40" s="12">
        <f>'TUSD BE'!$V$40*'TUSD BE'!$V$58</f>
        <v>0</v>
      </c>
      <c r="W40" s="12">
        <f>'TUSD BE'!$W$40*'TUSD BE'!$W$58</f>
        <v>0</v>
      </c>
      <c r="X40" s="12">
        <f>'TUSD BE'!$X$40*'TUSD BE'!$X$58</f>
        <v>0</v>
      </c>
      <c r="Y40" s="12">
        <f>'TUSD BE'!$Y$40*'TUSD BE'!$Y$58</f>
        <v>0.6409559401805438</v>
      </c>
      <c r="Z40" s="12">
        <f>'TUSD BE'!$Z$40*'TUSD BE'!$Z$58</f>
        <v>0</v>
      </c>
      <c r="AA40" s="12">
        <f>'TUSD BE'!$AA$40*'TUSD BE'!$AA$58</f>
        <v>0</v>
      </c>
      <c r="AB40" s="12">
        <f>SUM($U$40:$AA$40)</f>
        <v>0.6409559401805438</v>
      </c>
      <c r="AC40" s="12">
        <f>'TUSD BE'!$AC$40*'TUSD BE'!$AC$58</f>
        <v>0</v>
      </c>
      <c r="AD40" s="12">
        <f>SUM($AC$40:$AC$40)</f>
        <v>0</v>
      </c>
      <c r="AE40" s="12">
        <f ca="1">$AO$40*$AO$55</f>
        <v>-5.4237605127163588</v>
      </c>
      <c r="AF40" s="12">
        <f ca="1">$AP$40*$AP$55</f>
        <v>0</v>
      </c>
      <c r="AG40" s="12">
        <f ca="1">SUM($AE$40:$AF$40)</f>
        <v>-5.4237605127163588</v>
      </c>
      <c r="AH40" s="12">
        <f>'TUSD BE'!$AH$40*'TUSD BE'!$AH$58</f>
        <v>0.11072969255837979</v>
      </c>
      <c r="AI40" s="12">
        <f>'TUSD BE'!$AI$40*'TUSD BE'!$AI$58</f>
        <v>0</v>
      </c>
      <c r="AJ40" s="12">
        <f ca="1">'TUSD BE'!$AJ$40*'TUSD BE'!$AJ$58</f>
        <v>0</v>
      </c>
      <c r="AK40" s="12">
        <f ca="1">'TUSD BE'!$AK$40*'TUSD BE'!$AK$58</f>
        <v>0</v>
      </c>
      <c r="AL40" s="12">
        <f ca="1">SUM($AH$40:$AK$40)</f>
        <v>0.11072969255837979</v>
      </c>
      <c r="AM40" s="12">
        <f ca="1">SUMIF($L$4:$AL$4,"SUBTOTAL",$L$40:$AL$40)</f>
        <v>-5.8438307963474561</v>
      </c>
      <c r="AO40" s="20">
        <f ca="1">+'TUSD BE'!$T$40+'TUSD BE'!$AB$40+'TUSD BE'!$AD$40+'TUSD BE'!$AL$40</f>
        <v>217.53247505249126</v>
      </c>
      <c r="AP40" s="20">
        <f ca="1">+'TUSD BE'!$T$40+'TUSD BE'!$AB$40+'TUSD BE'!$AD$40+'TUSD BE'!$AL$40</f>
        <v>217.53247505249126</v>
      </c>
    </row>
    <row r="41" spans="1:42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>
        <f>'TUSD BE'!$L$41*'TUSD BE'!$L$58</f>
        <v>0</v>
      </c>
      <c r="M41" s="12">
        <f>'TUSD BE'!$M$41*'TUSD BE'!$M$58</f>
        <v>-7.7585644061510519E-3</v>
      </c>
      <c r="N41" s="12">
        <f ca="1">'TUSD BE'!$N$41*'TUSD BE'!$N$58</f>
        <v>0</v>
      </c>
      <c r="O41" s="12">
        <f>'TUSD BE'!$O$41*'TUSD BE'!$O$58</f>
        <v>0</v>
      </c>
      <c r="P41" s="12">
        <f>'TUSD BE'!$P$41*'TUSD BE'!$P$58</f>
        <v>0</v>
      </c>
      <c r="Q41" s="12">
        <f>'TUSD BE'!$Q$41*'TUSD BE'!$Q$58</f>
        <v>-1.0099158360270382</v>
      </c>
      <c r="R41" s="12">
        <f>'TUSD BE'!$R$41*'TUSD BE'!$R$58</f>
        <v>-0.15408151593683103</v>
      </c>
      <c r="S41" s="12">
        <f>'TUSD BE'!$R$41*'TUSD BE'!$S$58</f>
        <v>0</v>
      </c>
      <c r="T41" s="12">
        <f ca="1">SUM($L$41:$S$41)</f>
        <v>-1.1717559163700202</v>
      </c>
      <c r="U41" s="12">
        <f>'TUSD BE'!$U$41*'TUSD BE'!$U$58</f>
        <v>0</v>
      </c>
      <c r="V41" s="12">
        <f>'TUSD BE'!$V$41*'TUSD BE'!$V$58</f>
        <v>0</v>
      </c>
      <c r="W41" s="12">
        <f>'TUSD BE'!$W$41*'TUSD BE'!$W$58</f>
        <v>0</v>
      </c>
      <c r="X41" s="12">
        <f>'TUSD BE'!$X$41*'TUSD BE'!$X$58</f>
        <v>0</v>
      </c>
      <c r="Y41" s="12">
        <f>'TUSD BE'!$Y$41*'TUSD BE'!$Y$58</f>
        <v>1.0860770316359034</v>
      </c>
      <c r="Z41" s="12">
        <f>'TUSD BE'!$Z$41*'TUSD BE'!$Z$58</f>
        <v>0</v>
      </c>
      <c r="AA41" s="12">
        <f>'TUSD BE'!$AA$41*'TUSD BE'!$AA$58</f>
        <v>0</v>
      </c>
      <c r="AB41" s="12">
        <f>SUM($U$41:$AA$41)</f>
        <v>1.0860770316359034</v>
      </c>
      <c r="AC41" s="12">
        <f>'TUSD BE'!$AC$41*'TUSD BE'!$AC$58</f>
        <v>0</v>
      </c>
      <c r="AD41" s="12">
        <f>SUM($AC$41:$AC$41)</f>
        <v>0</v>
      </c>
      <c r="AE41" s="12">
        <f ca="1">$AO$41*$AO$55</f>
        <v>-7.1471966105497247</v>
      </c>
      <c r="AF41" s="12">
        <f ca="1">$AP$41*$AP$55</f>
        <v>0</v>
      </c>
      <c r="AG41" s="12">
        <f ca="1">SUM($AE$41:$AF$41)</f>
        <v>-7.1471966105497247</v>
      </c>
      <c r="AH41" s="12">
        <f>'TUSD BE'!$AH$41*'TUSD BE'!$AH$58</f>
        <v>0.11072969255837979</v>
      </c>
      <c r="AI41" s="12">
        <f>'TUSD BE'!$AI$41*'TUSD BE'!$AI$58</f>
        <v>0</v>
      </c>
      <c r="AJ41" s="12">
        <f ca="1">'TUSD BE'!$AJ$41*'TUSD BE'!$AJ$58</f>
        <v>0</v>
      </c>
      <c r="AK41" s="12">
        <f ca="1">'TUSD BE'!$AK$41*'TUSD BE'!$AK$58</f>
        <v>0</v>
      </c>
      <c r="AL41" s="12">
        <f ca="1">SUM($AH$41:$AK$41)</f>
        <v>0.11072969255837979</v>
      </c>
      <c r="AM41" s="12">
        <f ca="1">SUMIF($L$4:$AL$4,"SUBTOTAL",$L$41:$AL$41)</f>
        <v>-7.1221458027254618</v>
      </c>
      <c r="AO41" s="20">
        <f ca="1">+'TUSD BE'!$T$41+'TUSD BE'!$AB$41+'TUSD BE'!$AD$41+'TUSD BE'!$AL$41</f>
        <v>286.65487068141226</v>
      </c>
      <c r="AP41" s="20">
        <f ca="1">+'TUSD BE'!$T$41+'TUSD BE'!$AB$41+'TUSD BE'!$AD$41+'TUSD BE'!$AL$41</f>
        <v>286.65487068141226</v>
      </c>
    </row>
    <row r="42" spans="1:42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>
        <f>'TUSD BE'!$L$42*'TUSD BE'!$L$58</f>
        <v>0</v>
      </c>
      <c r="M42" s="12">
        <f>'TUSD BE'!$M$42*'TUSD BE'!$M$58</f>
        <v>-7.7585644061510519E-3</v>
      </c>
      <c r="N42" s="12">
        <f ca="1">'TUSD BE'!$N$42*'TUSD BE'!$N$58</f>
        <v>0</v>
      </c>
      <c r="O42" s="12">
        <f>'TUSD BE'!$O$42*'TUSD BE'!$O$58</f>
        <v>0</v>
      </c>
      <c r="P42" s="12">
        <f>'TUSD BE'!$P$42*'TUSD BE'!$P$58</f>
        <v>0</v>
      </c>
      <c r="Q42" s="12">
        <f>'TUSD BE'!$Q$42*'TUSD BE'!$Q$58</f>
        <v>-1.0099158360270382</v>
      </c>
      <c r="R42" s="12">
        <f>'TUSD BE'!$R$42*'TUSD BE'!$R$58</f>
        <v>-0.15408151593683103</v>
      </c>
      <c r="S42" s="12">
        <f>'TUSD BE'!$R$42*'TUSD BE'!$S$58</f>
        <v>0</v>
      </c>
      <c r="T42" s="12">
        <f ca="1">SUM($L$42:$S$42)</f>
        <v>-1.1717559163700202</v>
      </c>
      <c r="U42" s="12">
        <f>'TUSD BE'!$U$42*'TUSD BE'!$U$58</f>
        <v>0</v>
      </c>
      <c r="V42" s="12">
        <f>'TUSD BE'!$V$42*'TUSD BE'!$V$58</f>
        <v>0</v>
      </c>
      <c r="W42" s="12">
        <f>'TUSD BE'!$W$42*'TUSD BE'!$W$58</f>
        <v>0</v>
      </c>
      <c r="X42" s="12">
        <f>'TUSD BE'!$X$42*'TUSD BE'!$X$58</f>
        <v>0</v>
      </c>
      <c r="Y42" s="12">
        <f>'TUSD BE'!$Y$42*'TUSD BE'!$Y$58</f>
        <v>1.0860770316359034</v>
      </c>
      <c r="Z42" s="12">
        <f>'TUSD BE'!$Z$42*'TUSD BE'!$Z$58</f>
        <v>0</v>
      </c>
      <c r="AA42" s="12">
        <f>'TUSD BE'!$AA$42*'TUSD BE'!$AA$58</f>
        <v>0</v>
      </c>
      <c r="AB42" s="12">
        <f>SUM($U$42:$AA$42)</f>
        <v>1.0860770316359034</v>
      </c>
      <c r="AC42" s="12">
        <f>'TUSD BE'!$AC$42*'TUSD BE'!$AC$58</f>
        <v>0</v>
      </c>
      <c r="AD42" s="12">
        <f>SUM($AC$42:$AC$42)</f>
        <v>0</v>
      </c>
      <c r="AE42" s="12">
        <f ca="1">$AO$42*$AO$55</f>
        <v>-7.1471966105497247</v>
      </c>
      <c r="AF42" s="12">
        <f ca="1">$AP$42*$AP$55</f>
        <v>0</v>
      </c>
      <c r="AG42" s="12">
        <f ca="1">SUM($AE$42:$AF$42)</f>
        <v>-7.1471966105497247</v>
      </c>
      <c r="AH42" s="12">
        <f>'TUSD BE'!$AH$42*'TUSD BE'!$AH$58</f>
        <v>0.11072969255837979</v>
      </c>
      <c r="AI42" s="12">
        <f>'TUSD BE'!$AI$42*'TUSD BE'!$AI$58</f>
        <v>0</v>
      </c>
      <c r="AJ42" s="12">
        <f ca="1">'TUSD BE'!$AJ$42*'TUSD BE'!$AJ$58</f>
        <v>0</v>
      </c>
      <c r="AK42" s="12">
        <f ca="1">'TUSD BE'!$AK$42*'TUSD BE'!$AK$58</f>
        <v>0</v>
      </c>
      <c r="AL42" s="12">
        <f ca="1">SUM($AH$42:$AK$42)</f>
        <v>0.11072969255837979</v>
      </c>
      <c r="AM42" s="12">
        <f ca="1">SUMIF($L$4:$AL$4,"SUBTOTAL",$L$42:$AL$42)</f>
        <v>-7.1221458027254618</v>
      </c>
      <c r="AO42" s="20">
        <f ca="1">+'TUSD BE'!$T$42+'TUSD BE'!$AB$42+'TUSD BE'!$AD$42+'TUSD BE'!$AL$42</f>
        <v>286.65487068141226</v>
      </c>
      <c r="AP42" s="20">
        <f ca="1">+'TUSD BE'!$T$42+'TUSD BE'!$AB$42+'TUSD BE'!$AD$42+'TUSD BE'!$AL$42</f>
        <v>286.65487068141226</v>
      </c>
    </row>
    <row r="43" spans="1:42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>
        <f>'TUSD BE'!$L$43*'TUSD BE'!$L$58</f>
        <v>0</v>
      </c>
      <c r="M43" s="12">
        <f>'TUSD BE'!$M$43*'TUSD BE'!$M$58</f>
        <v>-7.7585644061510519E-3</v>
      </c>
      <c r="N43" s="12">
        <f ca="1">'TUSD BE'!$N$43*'TUSD BE'!$N$58</f>
        <v>0</v>
      </c>
      <c r="O43" s="12">
        <f>'TUSD BE'!$O$43*'TUSD BE'!$O$58</f>
        <v>0</v>
      </c>
      <c r="P43" s="12">
        <f>'TUSD BE'!$P$43*'TUSD BE'!$P$58</f>
        <v>0</v>
      </c>
      <c r="Q43" s="12">
        <f>'TUSD BE'!$Q$43*'TUSD BE'!$Q$58</f>
        <v>-1.0099158360270382</v>
      </c>
      <c r="R43" s="12">
        <f>'TUSD BE'!$R$43*'TUSD BE'!$R$58</f>
        <v>-0.15408151593683103</v>
      </c>
      <c r="S43" s="12">
        <f>'TUSD BE'!$R$43*'TUSD BE'!$S$58</f>
        <v>0</v>
      </c>
      <c r="T43" s="12">
        <f ca="1">SUM($L$43:$S$43)</f>
        <v>-1.1717559163700202</v>
      </c>
      <c r="U43" s="12">
        <f>'TUSD BE'!$U$43*'TUSD BE'!$U$58</f>
        <v>0</v>
      </c>
      <c r="V43" s="12">
        <f>'TUSD BE'!$V$43*'TUSD BE'!$V$58</f>
        <v>0</v>
      </c>
      <c r="W43" s="12">
        <f>'TUSD BE'!$W$43*'TUSD BE'!$W$58</f>
        <v>0</v>
      </c>
      <c r="X43" s="12">
        <f>'TUSD BE'!$X$43*'TUSD BE'!$X$58</f>
        <v>0</v>
      </c>
      <c r="Y43" s="12">
        <f>'TUSD BE'!$Y$43*'TUSD BE'!$Y$58</f>
        <v>1.0860770316359034</v>
      </c>
      <c r="Z43" s="12">
        <f>'TUSD BE'!$Z$43*'TUSD BE'!$Z$58</f>
        <v>0</v>
      </c>
      <c r="AA43" s="12">
        <f>'TUSD BE'!$AA$43*'TUSD BE'!$AA$58</f>
        <v>0</v>
      </c>
      <c r="AB43" s="12">
        <f>SUM($U$43:$AA$43)</f>
        <v>1.0860770316359034</v>
      </c>
      <c r="AC43" s="12">
        <f>'TUSD BE'!$AC$43*'TUSD BE'!$AC$58</f>
        <v>0</v>
      </c>
      <c r="AD43" s="12">
        <f>SUM($AC$43:$AC$43)</f>
        <v>0</v>
      </c>
      <c r="AE43" s="12">
        <f ca="1">$AO$43*$AO$55</f>
        <v>-7.1471966105497247</v>
      </c>
      <c r="AF43" s="12">
        <f ca="1">$AP$43*$AP$55</f>
        <v>0</v>
      </c>
      <c r="AG43" s="12">
        <f ca="1">SUM($AE$43:$AF$43)</f>
        <v>-7.1471966105497247</v>
      </c>
      <c r="AH43" s="12">
        <f>'TUSD BE'!$AH$43*'TUSD BE'!$AH$58</f>
        <v>0.11072969255837979</v>
      </c>
      <c r="AI43" s="12">
        <f>'TUSD BE'!$AI$43*'TUSD BE'!$AI$58</f>
        <v>0</v>
      </c>
      <c r="AJ43" s="12">
        <f ca="1">'TUSD BE'!$AJ$43*'TUSD BE'!$AJ$58</f>
        <v>0</v>
      </c>
      <c r="AK43" s="12">
        <f ca="1">'TUSD BE'!$AK$43*'TUSD BE'!$AK$58</f>
        <v>0</v>
      </c>
      <c r="AL43" s="12">
        <f ca="1">SUM($AH$43:$AK$43)</f>
        <v>0.11072969255837979</v>
      </c>
      <c r="AM43" s="12">
        <f ca="1">SUMIF($L$4:$AL$4,"SUBTOTAL",$L$43:$AL$43)</f>
        <v>-7.1221458027254618</v>
      </c>
      <c r="AO43" s="20">
        <f ca="1">+'TUSD BE'!$T$43+'TUSD BE'!$AB$43+'TUSD BE'!$AD$43+'TUSD BE'!$AL$43</f>
        <v>286.65487068141226</v>
      </c>
      <c r="AP43" s="20">
        <f ca="1">+'TUSD BE'!$T$43+'TUSD BE'!$AB$43+'TUSD BE'!$AD$43+'TUSD BE'!$AL$43</f>
        <v>286.65487068141226</v>
      </c>
    </row>
    <row r="44" spans="1:42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>
        <f>'TUSD BE'!$L$44*'TUSD BE'!$L$58</f>
        <v>0</v>
      </c>
      <c r="M44" s="12">
        <f>'TUSD BE'!$M$44*'TUSD BE'!$M$58</f>
        <v>-7.7585644061510519E-3</v>
      </c>
      <c r="N44" s="12">
        <f ca="1">'TUSD BE'!$N$44*'TUSD BE'!$N$58</f>
        <v>0</v>
      </c>
      <c r="O44" s="12">
        <f>'TUSD BE'!$O$44*'TUSD BE'!$O$58</f>
        <v>0</v>
      </c>
      <c r="P44" s="12">
        <f>'TUSD BE'!$P$44*'TUSD BE'!$P$58</f>
        <v>0</v>
      </c>
      <c r="Q44" s="12">
        <f>'TUSD BE'!$Q$44*'TUSD BE'!$Q$58</f>
        <v>-1.0099158360270382</v>
      </c>
      <c r="R44" s="12">
        <f>'TUSD BE'!$R$44*'TUSD BE'!$R$58</f>
        <v>-0.15408151593683103</v>
      </c>
      <c r="S44" s="12">
        <f>'TUSD BE'!$R$44*'TUSD BE'!$S$58</f>
        <v>0</v>
      </c>
      <c r="T44" s="12">
        <f ca="1">SUM($L$44:$S$44)</f>
        <v>-1.1717559163700202</v>
      </c>
      <c r="U44" s="12">
        <f>'TUSD BE'!$U$44*'TUSD BE'!$U$58</f>
        <v>0</v>
      </c>
      <c r="V44" s="12">
        <f>'TUSD BE'!$V$44*'TUSD BE'!$V$58</f>
        <v>0</v>
      </c>
      <c r="W44" s="12">
        <f>'TUSD BE'!$W$44*'TUSD BE'!$W$58</f>
        <v>0</v>
      </c>
      <c r="X44" s="12">
        <f>'TUSD BE'!$X$44*'TUSD BE'!$X$58</f>
        <v>0</v>
      </c>
      <c r="Y44" s="12">
        <f>'TUSD BE'!$Y$44*'TUSD BE'!$Y$58</f>
        <v>1.0860770316359034</v>
      </c>
      <c r="Z44" s="12">
        <f>'TUSD BE'!$Z$44*'TUSD BE'!$Z$58</f>
        <v>0</v>
      </c>
      <c r="AA44" s="12">
        <f>'TUSD BE'!$AA$44*'TUSD BE'!$AA$58</f>
        <v>0</v>
      </c>
      <c r="AB44" s="12">
        <f>SUM($U$44:$AA$44)</f>
        <v>1.0860770316359034</v>
      </c>
      <c r="AC44" s="12">
        <f>'TUSD BE'!$AC$44*'TUSD BE'!$AC$58</f>
        <v>0</v>
      </c>
      <c r="AD44" s="12">
        <f>SUM($AC$44:$AC$44)</f>
        <v>0</v>
      </c>
      <c r="AE44" s="12">
        <f ca="1">$AO$44*$AO$55</f>
        <v>-7.1471966105497247</v>
      </c>
      <c r="AF44" s="12">
        <f ca="1">$AP$44*$AP$55</f>
        <v>0</v>
      </c>
      <c r="AG44" s="12">
        <f ca="1">SUM($AE$44:$AF$44)</f>
        <v>-7.1471966105497247</v>
      </c>
      <c r="AH44" s="12">
        <f>'TUSD BE'!$AH$44*'TUSD BE'!$AH$58</f>
        <v>0.11072969255837979</v>
      </c>
      <c r="AI44" s="12">
        <f>'TUSD BE'!$AI$44*'TUSD BE'!$AI$58</f>
        <v>0</v>
      </c>
      <c r="AJ44" s="12">
        <f ca="1">'TUSD BE'!$AJ$44*'TUSD BE'!$AJ$58</f>
        <v>0</v>
      </c>
      <c r="AK44" s="12">
        <f ca="1">'TUSD BE'!$AK$44*'TUSD BE'!$AK$58</f>
        <v>0</v>
      </c>
      <c r="AL44" s="12">
        <f ca="1">SUM($AH$44:$AK$44)</f>
        <v>0.11072969255837979</v>
      </c>
      <c r="AM44" s="12">
        <f ca="1">SUMIF($L$4:$AL$4,"SUBTOTAL",$L$44:$AL$44)</f>
        <v>-7.1221458027254618</v>
      </c>
      <c r="AO44" s="20">
        <f ca="1">+'TUSD BE'!$T$44+'TUSD BE'!$AB$44+'TUSD BE'!$AD$44+'TUSD BE'!$AL$44</f>
        <v>286.65487068141226</v>
      </c>
      <c r="AP44" s="20">
        <f ca="1">+'TUSD BE'!$T$44+'TUSD BE'!$AB$44+'TUSD BE'!$AD$44+'TUSD BE'!$AL$44</f>
        <v>286.65487068141226</v>
      </c>
    </row>
    <row r="45" spans="1:42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>
        <f>'TUSD BE'!$L$45*'TUSD BE'!$L$58</f>
        <v>0</v>
      </c>
      <c r="M45" s="12">
        <f>'TUSD BE'!$M$45*'TUSD BE'!$M$58</f>
        <v>-7.7585644061510519E-3</v>
      </c>
      <c r="N45" s="12">
        <f ca="1">'TUSD BE'!$N$45*'TUSD BE'!$N$58</f>
        <v>0</v>
      </c>
      <c r="O45" s="12">
        <f>'TUSD BE'!$O$45*'TUSD BE'!$O$58</f>
        <v>0</v>
      </c>
      <c r="P45" s="12">
        <f>'TUSD BE'!$P$45*'TUSD BE'!$P$58</f>
        <v>0</v>
      </c>
      <c r="Q45" s="12">
        <f>'TUSD BE'!$Q$45*'TUSD BE'!$Q$58</f>
        <v>-1.0099158360270382</v>
      </c>
      <c r="R45" s="12">
        <f>'TUSD BE'!$R$45*'TUSD BE'!$R$58</f>
        <v>-0.15408151593683103</v>
      </c>
      <c r="S45" s="12">
        <f>'TUSD BE'!$R$45*'TUSD BE'!$S$58</f>
        <v>0</v>
      </c>
      <c r="T45" s="12">
        <f ca="1">SUM($L$45:$S$45)</f>
        <v>-1.1717559163700202</v>
      </c>
      <c r="U45" s="12">
        <f>'TUSD BE'!$U$45*'TUSD BE'!$U$58</f>
        <v>0</v>
      </c>
      <c r="V45" s="12">
        <f>'TUSD BE'!$V$45*'TUSD BE'!$V$58</f>
        <v>0</v>
      </c>
      <c r="W45" s="12">
        <f>'TUSD BE'!$W$45*'TUSD BE'!$W$58</f>
        <v>0</v>
      </c>
      <c r="X45" s="12">
        <f>'TUSD BE'!$X$45*'TUSD BE'!$X$58</f>
        <v>0</v>
      </c>
      <c r="Y45" s="12">
        <f>'TUSD BE'!$Y$45*'TUSD BE'!$Y$58</f>
        <v>3.691832489379236</v>
      </c>
      <c r="Z45" s="12">
        <f>'TUSD BE'!$Z$45*'TUSD BE'!$Z$58</f>
        <v>0</v>
      </c>
      <c r="AA45" s="12">
        <f>'TUSD BE'!$AA$45*'TUSD BE'!$AA$58</f>
        <v>0</v>
      </c>
      <c r="AB45" s="12">
        <f>SUM($U$45:$AA$45)</f>
        <v>3.691832489379236</v>
      </c>
      <c r="AC45" s="12">
        <f>'TUSD BE'!$AC$45*'TUSD BE'!$AC$58</f>
        <v>0</v>
      </c>
      <c r="AD45" s="12">
        <f>SUM($AC$45:$AC$45)</f>
        <v>0</v>
      </c>
      <c r="AE45" s="12">
        <f ca="1">$AO$45*$AO$55</f>
        <v>-17.235750546752019</v>
      </c>
      <c r="AF45" s="12">
        <f ca="1">$AP$45*$AP$55</f>
        <v>0</v>
      </c>
      <c r="AG45" s="12">
        <f ca="1">SUM($AE$45:$AF$45)</f>
        <v>-17.235750546752019</v>
      </c>
      <c r="AH45" s="12">
        <f>'TUSD BE'!$AH$45*'TUSD BE'!$AH$58</f>
        <v>0.11072969255837979</v>
      </c>
      <c r="AI45" s="12">
        <f>'TUSD BE'!$AI$45*'TUSD BE'!$AI$58</f>
        <v>0</v>
      </c>
      <c r="AJ45" s="12">
        <f ca="1">'TUSD BE'!$AJ$45*'TUSD BE'!$AJ$58</f>
        <v>0</v>
      </c>
      <c r="AK45" s="12">
        <f ca="1">'TUSD BE'!$AK$45*'TUSD BE'!$AK$58</f>
        <v>0</v>
      </c>
      <c r="AL45" s="12">
        <f ca="1">SUM($AH$45:$AK$45)</f>
        <v>0.11072969255837979</v>
      </c>
      <c r="AM45" s="12">
        <f ca="1">SUMIF($L$4:$AL$4,"SUBTOTAL",$L$45:$AL$45)</f>
        <v>-14.604944281184423</v>
      </c>
      <c r="AO45" s="20">
        <f ca="1">+'TUSD BE'!$T$45+'TUSD BE'!$AB$45+'TUSD BE'!$AD$45+'TUSD BE'!$AL$45</f>
        <v>691.27968814842325</v>
      </c>
      <c r="AP45" s="20">
        <f ca="1">+'TUSD BE'!$T$45+'TUSD BE'!$AB$45+'TUSD BE'!$AD$45+'TUSD BE'!$AL$45</f>
        <v>691.27968814842325</v>
      </c>
    </row>
    <row r="46" spans="1:42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>
        <f>'TUSD BE'!$L$46*'TUSD BE'!$L$58</f>
        <v>0</v>
      </c>
      <c r="M46" s="12">
        <f>'TUSD BE'!$M$46*'TUSD BE'!$M$58</f>
        <v>-7.7585644061510519E-3</v>
      </c>
      <c r="N46" s="12">
        <f ca="1">'TUSD BE'!$N$46*'TUSD BE'!$N$58</f>
        <v>0</v>
      </c>
      <c r="O46" s="12">
        <f>'TUSD BE'!$O$46*'TUSD BE'!$O$58</f>
        <v>0</v>
      </c>
      <c r="P46" s="12">
        <f>'TUSD BE'!$P$46*'TUSD BE'!$P$58</f>
        <v>0</v>
      </c>
      <c r="Q46" s="12">
        <f>'TUSD BE'!$Q$46*'TUSD BE'!$Q$58</f>
        <v>-1.0099158360270382</v>
      </c>
      <c r="R46" s="12">
        <f>'TUSD BE'!$R$46*'TUSD BE'!$R$58</f>
        <v>-0.15408151593683103</v>
      </c>
      <c r="S46" s="12">
        <f>'TUSD BE'!$R$46*'TUSD BE'!$S$58</f>
        <v>0</v>
      </c>
      <c r="T46" s="12">
        <f ca="1">SUM($L$46:$S$46)</f>
        <v>-1.1717559163700202</v>
      </c>
      <c r="U46" s="12">
        <f>'TUSD BE'!$U$46*'TUSD BE'!$U$58</f>
        <v>0</v>
      </c>
      <c r="V46" s="12">
        <f>'TUSD BE'!$V$46*'TUSD BE'!$V$58</f>
        <v>0</v>
      </c>
      <c r="W46" s="12">
        <f>'TUSD BE'!$W$46*'TUSD BE'!$W$58</f>
        <v>0</v>
      </c>
      <c r="X46" s="12">
        <f>'TUSD BE'!$X$46*'TUSD BE'!$X$58</f>
        <v>0</v>
      </c>
      <c r="Y46" s="12">
        <f>'TUSD BE'!$Y$46*'TUSD BE'!$Y$58</f>
        <v>2.2150073360516709</v>
      </c>
      <c r="Z46" s="12">
        <f>'TUSD BE'!$Z$46*'TUSD BE'!$Z$58</f>
        <v>0</v>
      </c>
      <c r="AA46" s="12">
        <f>'TUSD BE'!$AA$46*'TUSD BE'!$AA$58</f>
        <v>0</v>
      </c>
      <c r="AB46" s="12">
        <f>SUM($U$46:$AA$46)</f>
        <v>2.2150073360516709</v>
      </c>
      <c r="AC46" s="12">
        <f>'TUSD BE'!$AC$46*'TUSD BE'!$AC$58</f>
        <v>0</v>
      </c>
      <c r="AD46" s="12">
        <f>SUM($AC$46:$AC$46)</f>
        <v>0</v>
      </c>
      <c r="AE46" s="12">
        <f ca="1">$AO$46*$AO$55</f>
        <v>-11.518709347410311</v>
      </c>
      <c r="AF46" s="12">
        <f ca="1">$AP$46*$AP$55</f>
        <v>0</v>
      </c>
      <c r="AG46" s="12">
        <f ca="1">SUM($AE$46:$AF$46)</f>
        <v>-11.518709347410311</v>
      </c>
      <c r="AH46" s="12">
        <f>'TUSD BE'!$AH$46*'TUSD BE'!$AH$58</f>
        <v>0.11072969255837979</v>
      </c>
      <c r="AI46" s="12">
        <f>'TUSD BE'!$AI$46*'TUSD BE'!$AI$58</f>
        <v>0</v>
      </c>
      <c r="AJ46" s="12">
        <f ca="1">'TUSD BE'!$AJ$46*'TUSD BE'!$AJ$58</f>
        <v>0</v>
      </c>
      <c r="AK46" s="12">
        <f ca="1">'TUSD BE'!$AK$46*'TUSD BE'!$AK$58</f>
        <v>0</v>
      </c>
      <c r="AL46" s="12">
        <f ca="1">SUM($AH$46:$AK$46)</f>
        <v>0.11072969255837979</v>
      </c>
      <c r="AM46" s="12">
        <f ca="1">SUMIF($L$4:$AL$4,"SUBTOTAL",$L$46:$AL$46)</f>
        <v>-10.364728235170281</v>
      </c>
      <c r="AO46" s="20">
        <f ca="1">+'TUSD BE'!$T$46+'TUSD BE'!$AB$46+'TUSD BE'!$AD$46+'TUSD BE'!$AL$46</f>
        <v>461.98451201480424</v>
      </c>
      <c r="AP46" s="20">
        <f ca="1">+'TUSD BE'!$T$46+'TUSD BE'!$AB$46+'TUSD BE'!$AD$46+'TUSD BE'!$AL$46</f>
        <v>461.98451201480424</v>
      </c>
    </row>
    <row r="47" spans="1:42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>
        <f>'TUSD BE'!$L$47*'TUSD BE'!$L$58</f>
        <v>0</v>
      </c>
      <c r="M47" s="12">
        <f>'TUSD BE'!$M$47*'TUSD BE'!$M$58</f>
        <v>-7.7585644061510519E-3</v>
      </c>
      <c r="N47" s="12">
        <f ca="1">'TUSD BE'!$N$47*'TUSD BE'!$N$58</f>
        <v>0</v>
      </c>
      <c r="O47" s="12">
        <f>'TUSD BE'!$O$47*'TUSD BE'!$O$58</f>
        <v>0</v>
      </c>
      <c r="P47" s="12">
        <f>'TUSD BE'!$P$47*'TUSD BE'!$P$58</f>
        <v>0</v>
      </c>
      <c r="Q47" s="12">
        <f>'TUSD BE'!$Q$47*'TUSD BE'!$Q$58</f>
        <v>-1.0099158360270382</v>
      </c>
      <c r="R47" s="12">
        <f>'TUSD BE'!$R$47*'TUSD BE'!$R$58</f>
        <v>-0.15408151593683103</v>
      </c>
      <c r="S47" s="12">
        <f>'TUSD BE'!$R$47*'TUSD BE'!$S$58</f>
        <v>0</v>
      </c>
      <c r="T47" s="12">
        <f ca="1">SUM($L$47:$S$47)</f>
        <v>-1.1717559163700202</v>
      </c>
      <c r="U47" s="12">
        <f>'TUSD BE'!$U$47*'TUSD BE'!$U$58</f>
        <v>0</v>
      </c>
      <c r="V47" s="12">
        <f>'TUSD BE'!$V$47*'TUSD BE'!$V$58</f>
        <v>0</v>
      </c>
      <c r="W47" s="12">
        <f>'TUSD BE'!$W$47*'TUSD BE'!$W$58</f>
        <v>0</v>
      </c>
      <c r="X47" s="12">
        <f>'TUSD BE'!$X$47*'TUSD BE'!$X$58</f>
        <v>0</v>
      </c>
      <c r="Y47" s="12">
        <f>'TUSD BE'!$Y$47*'TUSD BE'!$Y$58</f>
        <v>0.73864297060345918</v>
      </c>
      <c r="Z47" s="12">
        <f>'TUSD BE'!$Z$47*'TUSD BE'!$Z$58</f>
        <v>0</v>
      </c>
      <c r="AA47" s="12">
        <f>'TUSD BE'!$AA$47*'TUSD BE'!$AA$58</f>
        <v>0</v>
      </c>
      <c r="AB47" s="12">
        <f>SUM($U$47:$AA$47)</f>
        <v>0.73864297060345918</v>
      </c>
      <c r="AC47" s="12">
        <f>'TUSD BE'!$AC$47*'TUSD BE'!$AC$58</f>
        <v>0</v>
      </c>
      <c r="AD47" s="12">
        <f>SUM($AC$47:$AC$47)</f>
        <v>0</v>
      </c>
      <c r="AE47" s="12">
        <f ca="1">$AO$47*$AO$55</f>
        <v>-5.8020575741095746</v>
      </c>
      <c r="AF47" s="12">
        <f ca="1">$AP$47*$AP$55</f>
        <v>0</v>
      </c>
      <c r="AG47" s="12">
        <f ca="1">SUM($AE$47:$AF$47)</f>
        <v>-5.8020575741095746</v>
      </c>
      <c r="AH47" s="12">
        <f>'TUSD BE'!$AH$47*'TUSD BE'!$AH$58</f>
        <v>0.11072969255837979</v>
      </c>
      <c r="AI47" s="12">
        <f>'TUSD BE'!$AI$47*'TUSD BE'!$AI$58</f>
        <v>0</v>
      </c>
      <c r="AJ47" s="12">
        <f ca="1">'TUSD BE'!$AJ$47*'TUSD BE'!$AJ$58</f>
        <v>0</v>
      </c>
      <c r="AK47" s="12">
        <f ca="1">'TUSD BE'!$AK$47*'TUSD BE'!$AK$58</f>
        <v>0</v>
      </c>
      <c r="AL47" s="12">
        <f ca="1">SUM($AH$47:$AK$47)</f>
        <v>0.11072969255837979</v>
      </c>
      <c r="AM47" s="12">
        <f ca="1">SUMIF($L$4:$AL$4,"SUBTOTAL",$L$47:$AL$47)</f>
        <v>-6.1244408273177555</v>
      </c>
      <c r="AO47" s="20">
        <f ca="1">+'TUSD BE'!$T$47+'TUSD BE'!$AB$47+'TUSD BE'!$AD$47+'TUSD BE'!$AL$47</f>
        <v>232.7049547143443</v>
      </c>
      <c r="AP47" s="20">
        <f ca="1">+'TUSD BE'!$T$47+'TUSD BE'!$AB$47+'TUSD BE'!$AD$47+'TUSD BE'!$AL$47</f>
        <v>232.7049547143443</v>
      </c>
    </row>
    <row r="48" spans="1:42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>
        <f>'TUSD BE'!$L$48*'TUSD BE'!$L$58</f>
        <v>0</v>
      </c>
      <c r="M48" s="12">
        <f>'TUSD BE'!$M$48*'TUSD BE'!$M$58</f>
        <v>-7.7585644061510519E-3</v>
      </c>
      <c r="N48" s="12">
        <f ca="1">'TUSD BE'!$N$48*'TUSD BE'!$N$58</f>
        <v>0</v>
      </c>
      <c r="O48" s="12">
        <f>'TUSD BE'!$O$48*'TUSD BE'!$O$58</f>
        <v>0</v>
      </c>
      <c r="P48" s="12">
        <f>'TUSD BE'!$P$48*'TUSD BE'!$P$58</f>
        <v>0</v>
      </c>
      <c r="Q48" s="12">
        <f>'TUSD BE'!$Q$48*'TUSD BE'!$Q$58</f>
        <v>-1.0099158360270382</v>
      </c>
      <c r="R48" s="12">
        <f>'TUSD BE'!$R$48*'TUSD BE'!$R$58</f>
        <v>-0.15408151593683103</v>
      </c>
      <c r="S48" s="12">
        <f>'TUSD BE'!$R$48*'TUSD BE'!$S$58</f>
        <v>0</v>
      </c>
      <c r="T48" s="12">
        <f ca="1">SUM($L$48:$S$48)</f>
        <v>-1.1717559163700202</v>
      </c>
      <c r="U48" s="12">
        <f>'TUSD BE'!$U$48*'TUSD BE'!$U$58</f>
        <v>0</v>
      </c>
      <c r="V48" s="12">
        <f>'TUSD BE'!$V$48*'TUSD BE'!$V$58</f>
        <v>0</v>
      </c>
      <c r="W48" s="12">
        <f>'TUSD BE'!$W$48*'TUSD BE'!$W$58</f>
        <v>0</v>
      </c>
      <c r="X48" s="12">
        <f>'TUSD BE'!$X$48*'TUSD BE'!$X$58</f>
        <v>0</v>
      </c>
      <c r="Y48" s="12">
        <f>'TUSD BE'!$Y$48*'TUSD BE'!$Y$58</f>
        <v>1.0860770316359034</v>
      </c>
      <c r="Z48" s="12">
        <f>'TUSD BE'!$Z$48*'TUSD BE'!$Z$58</f>
        <v>0</v>
      </c>
      <c r="AA48" s="12">
        <f>'TUSD BE'!$AA$48*'TUSD BE'!$AA$58</f>
        <v>0</v>
      </c>
      <c r="AB48" s="12">
        <f>SUM($U$48:$AA$48)</f>
        <v>1.0860770316359034</v>
      </c>
      <c r="AC48" s="12">
        <f>'TUSD BE'!$AC$48*'TUSD BE'!$AC$58</f>
        <v>0</v>
      </c>
      <c r="AD48" s="12">
        <f>SUM($AC$48:$AC$48)</f>
        <v>0</v>
      </c>
      <c r="AE48" s="12">
        <f ca="1">$AO$48*$AO$55</f>
        <v>-7.1471966105497247</v>
      </c>
      <c r="AF48" s="12">
        <f ca="1">$AP$48*$AP$55</f>
        <v>0</v>
      </c>
      <c r="AG48" s="12">
        <f ca="1">SUM($AE$48:$AF$48)</f>
        <v>-7.1471966105497247</v>
      </c>
      <c r="AH48" s="12">
        <f>'TUSD BE'!$AH$48*'TUSD BE'!$AH$58</f>
        <v>0.11072969255837979</v>
      </c>
      <c r="AI48" s="12">
        <f>'TUSD BE'!$AI$48*'TUSD BE'!$AI$58</f>
        <v>0</v>
      </c>
      <c r="AJ48" s="12">
        <f ca="1">'TUSD BE'!$AJ$48*'TUSD BE'!$AJ$58</f>
        <v>0</v>
      </c>
      <c r="AK48" s="12">
        <f ca="1">'TUSD BE'!$AK$48*'TUSD BE'!$AK$58</f>
        <v>0</v>
      </c>
      <c r="AL48" s="12">
        <f ca="1">SUM($AH$48:$AK$48)</f>
        <v>0.11072969255837979</v>
      </c>
      <c r="AM48" s="12">
        <f ca="1">SUMIF($L$4:$AL$4,"SUBTOTAL",$L$48:$AL$48)</f>
        <v>-7.1221458027254618</v>
      </c>
      <c r="AO48" s="20">
        <f ca="1">+'TUSD BE'!$T$48+'TUSD BE'!$AB$48+'TUSD BE'!$AD$48+'TUSD BE'!$AL$48</f>
        <v>286.65487068141226</v>
      </c>
      <c r="AP48" s="20">
        <f ca="1">+'TUSD BE'!$T$48+'TUSD BE'!$AB$48+'TUSD BE'!$AD$48+'TUSD BE'!$AL$48</f>
        <v>286.65487068141226</v>
      </c>
    </row>
    <row r="49" spans="1:42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>
        <f>'TUSD BE'!$L$49*'TUSD BE'!$L$58</f>
        <v>0</v>
      </c>
      <c r="M49" s="12">
        <f>'TUSD BE'!$M$49*'TUSD BE'!$M$58</f>
        <v>-7.7585644061510519E-3</v>
      </c>
      <c r="N49" s="12">
        <f ca="1">'TUSD BE'!$N$49*'TUSD BE'!$N$58</f>
        <v>0</v>
      </c>
      <c r="O49" s="12">
        <f>'TUSD BE'!$O$49*'TUSD BE'!$O$58</f>
        <v>0</v>
      </c>
      <c r="P49" s="12">
        <f>'TUSD BE'!$P$49*'TUSD BE'!$P$58</f>
        <v>0</v>
      </c>
      <c r="Q49" s="12">
        <f>'TUSD BE'!$Q$49*'TUSD BE'!$Q$58</f>
        <v>-1.0099158360270382</v>
      </c>
      <c r="R49" s="12">
        <f>'TUSD BE'!$R$49*'TUSD BE'!$R$58</f>
        <v>-0.15408151593683103</v>
      </c>
      <c r="S49" s="12">
        <f>'TUSD BE'!$R$49*'TUSD BE'!$S$58</f>
        <v>0</v>
      </c>
      <c r="T49" s="12">
        <f ca="1">SUM($L$49:$S$49)</f>
        <v>-1.1717559163700202</v>
      </c>
      <c r="U49" s="12">
        <f>'TUSD BE'!$U$49*'TUSD BE'!$U$58</f>
        <v>0</v>
      </c>
      <c r="V49" s="12">
        <f>'TUSD BE'!$V$49*'TUSD BE'!$V$58</f>
        <v>0</v>
      </c>
      <c r="W49" s="12">
        <f>'TUSD BE'!$W$49*'TUSD BE'!$W$58</f>
        <v>0</v>
      </c>
      <c r="X49" s="12">
        <f>'TUSD BE'!$X$49*'TUSD BE'!$X$58</f>
        <v>0</v>
      </c>
      <c r="Y49" s="12">
        <f>'TUSD BE'!$Y$49*'TUSD BE'!$Y$58</f>
        <v>1.0860770316359034</v>
      </c>
      <c r="Z49" s="12">
        <f>'TUSD BE'!$Z$49*'TUSD BE'!$Z$58</f>
        <v>0</v>
      </c>
      <c r="AA49" s="12">
        <f>'TUSD BE'!$AA$49*'TUSD BE'!$AA$58</f>
        <v>0</v>
      </c>
      <c r="AB49" s="12">
        <f>SUM($U$49:$AA$49)</f>
        <v>1.0860770316359034</v>
      </c>
      <c r="AC49" s="12">
        <f>'TUSD BE'!$AC$49*'TUSD BE'!$AC$58</f>
        <v>0</v>
      </c>
      <c r="AD49" s="12">
        <f>SUM($AC$49:$AC$49)</f>
        <v>0</v>
      </c>
      <c r="AE49" s="12">
        <f ca="1">$AO$49*$AO$55</f>
        <v>-7.1471966105497247</v>
      </c>
      <c r="AF49" s="12">
        <f ca="1">$AP$49*$AP$55</f>
        <v>0</v>
      </c>
      <c r="AG49" s="12">
        <f ca="1">SUM($AE$49:$AF$49)</f>
        <v>-7.1471966105497247</v>
      </c>
      <c r="AH49" s="12">
        <f>'TUSD BE'!$AH$49*'TUSD BE'!$AH$58</f>
        <v>0.11072969255837979</v>
      </c>
      <c r="AI49" s="12">
        <f>'TUSD BE'!$AI$49*'TUSD BE'!$AI$58</f>
        <v>0</v>
      </c>
      <c r="AJ49" s="12">
        <f ca="1">'TUSD BE'!$AJ$49*'TUSD BE'!$AJ$58</f>
        <v>0</v>
      </c>
      <c r="AK49" s="12">
        <f ca="1">'TUSD BE'!$AK$49*'TUSD BE'!$AK$58</f>
        <v>0</v>
      </c>
      <c r="AL49" s="12">
        <f ca="1">SUM($AH$49:$AK$49)</f>
        <v>0.11072969255837979</v>
      </c>
      <c r="AM49" s="12">
        <f ca="1">SUMIF($L$4:$AL$4,"SUBTOTAL",$L$49:$AL$49)</f>
        <v>-7.1221458027254618</v>
      </c>
      <c r="AO49" s="20">
        <f ca="1">+'TUSD BE'!$T$49+'TUSD BE'!$AB$49+'TUSD BE'!$AD$49+'TUSD BE'!$AL$49</f>
        <v>286.65487068141226</v>
      </c>
      <c r="AP49" s="20">
        <f ca="1">+'TUSD BE'!$T$49+'TUSD BE'!$AB$49+'TUSD BE'!$AD$49+'TUSD BE'!$AL$49</f>
        <v>286.65487068141226</v>
      </c>
    </row>
    <row r="50" spans="1:42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>
        <f>'TUSD BE'!$L$50*'TUSD BE'!$L$58</f>
        <v>0</v>
      </c>
      <c r="M50" s="12">
        <f>'TUSD BE'!$M$50*'TUSD BE'!$M$58</f>
        <v>-4.267210423383079E-3</v>
      </c>
      <c r="N50" s="12">
        <f ca="1">'TUSD BE'!$N$50*'TUSD BE'!$N$58</f>
        <v>0</v>
      </c>
      <c r="O50" s="12">
        <f>'TUSD BE'!$O$50*'TUSD BE'!$O$58</f>
        <v>0</v>
      </c>
      <c r="P50" s="12">
        <f>'TUSD BE'!$P$50*'TUSD BE'!$P$58</f>
        <v>0</v>
      </c>
      <c r="Q50" s="12">
        <f>'TUSD BE'!$Q$50*'TUSD BE'!$Q$58</f>
        <v>-0.55545370981487097</v>
      </c>
      <c r="R50" s="12">
        <f>'TUSD BE'!$R$50*'TUSD BE'!$R$58</f>
        <v>-8.4744833765257085E-2</v>
      </c>
      <c r="S50" s="12">
        <f>'TUSD BE'!$R$50*'TUSD BE'!$S$58</f>
        <v>0</v>
      </c>
      <c r="T50" s="12">
        <f ca="1">SUM($L$50:$S$50)</f>
        <v>-0.64446575400351114</v>
      </c>
      <c r="U50" s="12">
        <f>'TUSD BE'!$U$50*'TUSD BE'!$U$58</f>
        <v>0</v>
      </c>
      <c r="V50" s="12">
        <f>'TUSD BE'!$V$50*'TUSD BE'!$V$58</f>
        <v>0</v>
      </c>
      <c r="W50" s="12">
        <f>'TUSD BE'!$W$50*'TUSD BE'!$W$58</f>
        <v>0</v>
      </c>
      <c r="X50" s="12">
        <f>'TUSD BE'!$X$50*'TUSD BE'!$X$58</f>
        <v>0</v>
      </c>
      <c r="Y50" s="12">
        <f>'TUSD BE'!$Y$50*'TUSD BE'!$Y$58</f>
        <v>0.59734236739974689</v>
      </c>
      <c r="Z50" s="12">
        <f>'TUSD BE'!$Z$50*'TUSD BE'!$Z$58</f>
        <v>0</v>
      </c>
      <c r="AA50" s="12">
        <f>'TUSD BE'!$AA$50*'TUSD BE'!$AA$58</f>
        <v>0</v>
      </c>
      <c r="AB50" s="12">
        <f>SUM($U$50:$AA$50)</f>
        <v>0.59734236739974689</v>
      </c>
      <c r="AC50" s="12">
        <f>'TUSD BE'!$AC$50*'TUSD BE'!$AC$58</f>
        <v>0</v>
      </c>
      <c r="AD50" s="12">
        <f>SUM($AC$50:$AC$50)</f>
        <v>0</v>
      </c>
      <c r="AE50" s="12">
        <f ca="1">$AO$50*$AO$55</f>
        <v>-3.9309581358023489</v>
      </c>
      <c r="AF50" s="12">
        <f ca="1">$AP$50*$AP$55</f>
        <v>0</v>
      </c>
      <c r="AG50" s="12">
        <f ca="1">SUM($AE$50:$AF$50)</f>
        <v>-3.9309581358023489</v>
      </c>
      <c r="AH50" s="12">
        <f>'TUSD BE'!$AH$50*'TUSD BE'!$AH$58</f>
        <v>6.0901330907108885E-2</v>
      </c>
      <c r="AI50" s="12">
        <f>'TUSD BE'!$AI$50*'TUSD BE'!$AI$58</f>
        <v>0</v>
      </c>
      <c r="AJ50" s="12">
        <f ca="1">'TUSD BE'!$AJ$50*'TUSD BE'!$AJ$58</f>
        <v>0</v>
      </c>
      <c r="AK50" s="12">
        <f ca="1">'TUSD BE'!$AK$50*'TUSD BE'!$AK$58</f>
        <v>0</v>
      </c>
      <c r="AL50" s="12">
        <f ca="1">SUM($AH$50:$AK$50)</f>
        <v>6.0901330907108885E-2</v>
      </c>
      <c r="AM50" s="12">
        <f ca="1">SUMIF($L$4:$AL$4,"SUBTOTAL",$L$50:$AL$50)</f>
        <v>-3.9171801914990043</v>
      </c>
      <c r="AO50" s="20">
        <f ca="1">+'TUSD BE'!$T$50+'TUSD BE'!$AB$50+'TUSD BE'!$AD$50+'TUSD BE'!$AL$50</f>
        <v>157.66017887477676</v>
      </c>
      <c r="AP50" s="20">
        <f ca="1">+'TUSD BE'!$T$50+'TUSD BE'!$AB$50+'TUSD BE'!$AD$50+'TUSD BE'!$AL$50</f>
        <v>157.66017887477676</v>
      </c>
    </row>
    <row r="51" spans="1:42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>
        <f>'TUSD BE'!$L$51*'TUSD BE'!$L$58</f>
        <v>0</v>
      </c>
      <c r="M51" s="12">
        <f>'TUSD BE'!$M$51*'TUSD BE'!$M$58</f>
        <v>-4.6551386436906308E-3</v>
      </c>
      <c r="N51" s="12">
        <f ca="1">'TUSD BE'!$N$51*'TUSD BE'!$N$58</f>
        <v>0</v>
      </c>
      <c r="O51" s="12">
        <f>'TUSD BE'!$O$51*'TUSD BE'!$O$58</f>
        <v>0</v>
      </c>
      <c r="P51" s="12">
        <f>'TUSD BE'!$P$51*'TUSD BE'!$P$58</f>
        <v>0</v>
      </c>
      <c r="Q51" s="12">
        <f>'TUSD BE'!$Q$51*'TUSD BE'!$Q$58</f>
        <v>-0.60594950161622285</v>
      </c>
      <c r="R51" s="12">
        <f>'TUSD BE'!$R$51*'TUSD BE'!$R$58</f>
        <v>-9.2448909562098613E-2</v>
      </c>
      <c r="S51" s="12">
        <f>'TUSD BE'!$R$51*'TUSD BE'!$S$58</f>
        <v>0</v>
      </c>
      <c r="T51" s="12">
        <f ca="1">SUM($L$51:$S$51)</f>
        <v>-0.70305354982201207</v>
      </c>
      <c r="U51" s="12">
        <f>'TUSD BE'!$U$51*'TUSD BE'!$U$58</f>
        <v>0</v>
      </c>
      <c r="V51" s="12">
        <f>'TUSD BE'!$V$51*'TUSD BE'!$V$58</f>
        <v>0</v>
      </c>
      <c r="W51" s="12">
        <f>'TUSD BE'!$W$51*'TUSD BE'!$W$58</f>
        <v>0</v>
      </c>
      <c r="X51" s="12">
        <f>'TUSD BE'!$X$51*'TUSD BE'!$X$58</f>
        <v>0</v>
      </c>
      <c r="Y51" s="12">
        <f>'TUSD BE'!$Y$51*'TUSD BE'!$Y$58</f>
        <v>0.65164621898154207</v>
      </c>
      <c r="Z51" s="12">
        <f>'TUSD BE'!$Z$51*'TUSD BE'!$Z$58</f>
        <v>0</v>
      </c>
      <c r="AA51" s="12">
        <f>'TUSD BE'!$AA$51*'TUSD BE'!$AA$58</f>
        <v>0</v>
      </c>
      <c r="AB51" s="12">
        <f>SUM($U$51:$AA$51)</f>
        <v>0.65164621898154207</v>
      </c>
      <c r="AC51" s="12">
        <f>'TUSD BE'!$AC$51*'TUSD BE'!$AC$58</f>
        <v>0</v>
      </c>
      <c r="AD51" s="12">
        <f>SUM($AC$51:$AC$51)</f>
        <v>0</v>
      </c>
      <c r="AE51" s="12">
        <f ca="1">$AO$51*$AO$55</f>
        <v>-4.2883179663298341</v>
      </c>
      <c r="AF51" s="12">
        <f ca="1">$AP$51*$AP$55</f>
        <v>0</v>
      </c>
      <c r="AG51" s="12">
        <f ca="1">SUM($AE$51:$AF$51)</f>
        <v>-4.2883179663298341</v>
      </c>
      <c r="AH51" s="12">
        <f>'TUSD BE'!$AH$51*'TUSD BE'!$AH$58</f>
        <v>6.6437815535027867E-2</v>
      </c>
      <c r="AI51" s="12">
        <f>'TUSD BE'!$AI$51*'TUSD BE'!$AI$58</f>
        <v>0</v>
      </c>
      <c r="AJ51" s="12">
        <f ca="1">'TUSD BE'!$AJ$51*'TUSD BE'!$AJ$58</f>
        <v>0</v>
      </c>
      <c r="AK51" s="12">
        <f ca="1">'TUSD BE'!$AK$51*'TUSD BE'!$AK$58</f>
        <v>0</v>
      </c>
      <c r="AL51" s="12">
        <f ca="1">SUM($AH$51:$AK$51)</f>
        <v>6.6437815535027867E-2</v>
      </c>
      <c r="AM51" s="12">
        <f ca="1">SUMIF($L$4:$AL$4,"SUBTOTAL",$L$51:$AL$51)</f>
        <v>-4.2732874816352764</v>
      </c>
      <c r="AO51" s="20">
        <f ca="1">+'TUSD BE'!$T$51+'TUSD BE'!$AB$51+'TUSD BE'!$AD$51+'TUSD BE'!$AL$51</f>
        <v>171.99292240884733</v>
      </c>
      <c r="AP51" s="20">
        <f ca="1">+'TUSD BE'!$T$51+'TUSD BE'!$AB$51+'TUSD BE'!$AD$51+'TUSD BE'!$AL$51</f>
        <v>171.99292240884733</v>
      </c>
    </row>
    <row r="53" spans="1:42" ht="11.25" customHeight="1" x14ac:dyDescent="0.25">
      <c r="K53" s="16" t="s">
        <v>432</v>
      </c>
      <c r="L53" s="12">
        <f>SUMPRODUCT($I$5:$I51,$L$5:$L51)</f>
        <v>0</v>
      </c>
      <c r="M53" s="12">
        <f>SUMPRODUCT($I$5:$I51,$M$5:$M51)</f>
        <v>-265.52917760075673</v>
      </c>
      <c r="N53" s="12">
        <f ca="1">SUMPRODUCT($I$5:$I51,$N$5:$N51)</f>
        <v>0</v>
      </c>
      <c r="O53" s="12">
        <f>SUMPRODUCT($I$5:$I51,$O$5:$O51)</f>
        <v>0</v>
      </c>
      <c r="P53" s="12">
        <f>SUMPRODUCT($I$5:$I51,$P$5:$P51)</f>
        <v>0</v>
      </c>
      <c r="Q53" s="12">
        <f>SUMPRODUCT($I$5:$I51,$Q$5:$Q51)</f>
        <v>-48767.209514869865</v>
      </c>
      <c r="R53" s="12">
        <f>SUMPRODUCT($I$5:$I51,$R$5:$R51)</f>
        <v>-8700.7586157352216</v>
      </c>
      <c r="S53" s="12">
        <f>SUMPRODUCT($I$5:$I51,$S$5:$S51)</f>
        <v>0</v>
      </c>
      <c r="T53" s="12">
        <f ca="1">SUMPRODUCT($I$5:$I51,$T$5:$T51)</f>
        <v>-57733.497308205842</v>
      </c>
      <c r="U53" s="12">
        <f>SUMPRODUCT($I$5:$I51,$U$5:$U51)</f>
        <v>0</v>
      </c>
      <c r="V53" s="12">
        <f>SUMPRODUCT($I$5:$I51,$V$5:$V51)</f>
        <v>0</v>
      </c>
      <c r="W53" s="12">
        <f>SUMPRODUCT($I$5:$I51,$W$5:$W51)</f>
        <v>0</v>
      </c>
      <c r="X53" s="12">
        <f>SUMPRODUCT($I$5:$I51,$X$5:$X51)</f>
        <v>0</v>
      </c>
      <c r="Y53" s="12">
        <f>SUMPRODUCT($I$5:$I51,$Y$5:$Y51)</f>
        <v>63610.41141640077</v>
      </c>
      <c r="Z53" s="12">
        <f>SUMPRODUCT($I$5:$I51,$Z$5:$Z51)</f>
        <v>0</v>
      </c>
      <c r="AA53" s="12">
        <f>SUMPRODUCT($I$5:$I51,$AA$5:$AA51)</f>
        <v>0</v>
      </c>
      <c r="AB53" s="12">
        <f>SUMPRODUCT($I$5:$I51,$AB$5:$AB51)</f>
        <v>63610.41141640077</v>
      </c>
      <c r="AC53" s="12">
        <f>SUMPRODUCT($I$5:$I51,$AC$5:$AC51)</f>
        <v>0</v>
      </c>
      <c r="AD53" s="12">
        <f>SUMPRODUCT($I$5:$I51,$AD$5:$AD51)</f>
        <v>0</v>
      </c>
      <c r="AE53" s="12">
        <f ca="1">SUMPRODUCT($I$5:$I51,$AE$5:$AE51)</f>
        <v>-305197.71894690511</v>
      </c>
      <c r="AF53" s="12">
        <f ca="1">SUMPRODUCT($I$5:$I51,$AF$5:$AF51)</f>
        <v>0</v>
      </c>
      <c r="AG53" s="12">
        <f ca="1">SUMPRODUCT($I$5:$I51,$AG$5:$AG51)</f>
        <v>-305197.71894690511</v>
      </c>
      <c r="AH53" s="12">
        <f>SUMPRODUCT($I$5:$I51,$AH$5:$AH51)</f>
        <v>3428.683529266094</v>
      </c>
      <c r="AI53" s="12">
        <f>SUMPRODUCT($I$5:$I51,$AI$5:$AI51)</f>
        <v>0</v>
      </c>
      <c r="AJ53" s="12">
        <f ca="1">SUMPRODUCT($I$5:$I51,$AJ$5:$AJ51)</f>
        <v>0</v>
      </c>
      <c r="AK53" s="12">
        <f ca="1">SUMPRODUCT($I$5:$I51,$AK$5:$AK51)</f>
        <v>0</v>
      </c>
      <c r="AL53" s="12">
        <f ca="1">SUMPRODUCT($I$5:$I51,$AL$5:$AL51)</f>
        <v>3428.683529266094</v>
      </c>
      <c r="AM53" s="12">
        <f ca="1">SUMPRODUCT($I$5:$I51,$AM$5:$AM51)</f>
        <v>-295892.12130944408</v>
      </c>
      <c r="AO53" s="17">
        <f ca="1">SUMPRODUCT($I$5:$I51,$AO$5:$AO51)</f>
        <v>12240661.258408859</v>
      </c>
      <c r="AP53" s="17">
        <f ca="1">SUMPRODUCT($I$5:$I51,$AP$5:$AP51)</f>
        <v>12240661.258408859</v>
      </c>
    </row>
    <row r="54" spans="1:42" ht="11.25" customHeight="1" x14ac:dyDescent="0.25">
      <c r="K54" s="16" t="s">
        <v>364</v>
      </c>
      <c r="L54" s="12">
        <f>'TR TUSD'!$L$56</f>
        <v>0</v>
      </c>
      <c r="M54" s="12">
        <f>'TR TUSD'!$M$56</f>
        <v>20528.077865070933</v>
      </c>
      <c r="N54" s="12">
        <f>'TR TUSD'!$N$56</f>
        <v>0</v>
      </c>
      <c r="O54" s="12">
        <f>'TR TUSD'!$O$56</f>
        <v>0</v>
      </c>
      <c r="P54" s="12">
        <f>'TR TUSD'!$P$56</f>
        <v>0</v>
      </c>
      <c r="Q54" s="12">
        <f>'TR TUSD'!$Q$56</f>
        <v>4334434.3109400002</v>
      </c>
      <c r="R54" s="12">
        <f>'TR TUSD'!$R$56</f>
        <v>800993.75328000018</v>
      </c>
      <c r="S54" s="12">
        <f>'TR TUSD'!$S$56</f>
        <v>0</v>
      </c>
      <c r="T54" s="12">
        <f>'TR TUSD'!$T$56</f>
        <v>5155956.1420850707</v>
      </c>
      <c r="U54" s="12">
        <f>'TR TUSD'!$U$56</f>
        <v>0</v>
      </c>
      <c r="V54" s="12">
        <f>'TR TUSD'!$V$56</f>
        <v>0</v>
      </c>
      <c r="W54" s="12">
        <f>'TR TUSD'!$W$56</f>
        <v>0</v>
      </c>
      <c r="X54" s="12">
        <f>'TR TUSD'!$X$56</f>
        <v>0</v>
      </c>
      <c r="Y54" s="12">
        <f>'TR TUSD'!$Y$56</f>
        <v>2156133.9775</v>
      </c>
      <c r="Z54" s="12">
        <f>'TR TUSD'!$Z$56</f>
        <v>0</v>
      </c>
      <c r="AA54" s="12">
        <f>'TR TUSD'!$AA$56</f>
        <v>0</v>
      </c>
      <c r="AB54" s="12">
        <f>'TR TUSD'!$AB$56</f>
        <v>2156133.9775</v>
      </c>
      <c r="AC54" s="12">
        <f>'TR TUSD'!$AC$56</f>
        <v>4510443.0453111222</v>
      </c>
      <c r="AD54" s="12">
        <f>'TR TUSD'!$AD$56</f>
        <v>4510443.0453111222</v>
      </c>
      <c r="AE54" s="12">
        <f>'TR TUSD'!$AE$56</f>
        <v>0</v>
      </c>
      <c r="AF54" s="12">
        <f>'TR TUSD'!$AF$56</f>
        <v>0</v>
      </c>
      <c r="AG54" s="12">
        <f>'TR TUSD'!$AG$56</f>
        <v>0</v>
      </c>
      <c r="AH54" s="12">
        <f>'TR TUSD'!$AH$56</f>
        <v>418128.09351266426</v>
      </c>
      <c r="AI54" s="12">
        <f>'TR TUSD'!$AI$56</f>
        <v>0</v>
      </c>
      <c r="AJ54" s="12">
        <f>'TR TUSD'!$AJ$56</f>
        <v>0</v>
      </c>
      <c r="AK54" s="12">
        <f>'TR TUSD'!$AK$56</f>
        <v>0</v>
      </c>
      <c r="AL54" s="12">
        <f>'TR TUSD'!$AL$56</f>
        <v>418128.09351266426</v>
      </c>
      <c r="AM54" s="12">
        <f>'TUSD BE'!$AM$54</f>
        <v>12240661.258408858</v>
      </c>
      <c r="AO54" s="17">
        <f>$AE$55</f>
        <v>-305197.71894690522</v>
      </c>
      <c r="AP54" s="17">
        <f>$AF$55</f>
        <v>0</v>
      </c>
    </row>
    <row r="55" spans="1:42" ht="11.25" customHeight="1" x14ac:dyDescent="0.25">
      <c r="K55" s="16" t="s">
        <v>365</v>
      </c>
      <c r="L55" s="12">
        <f>CUSTOS!$E$2</f>
        <v>0</v>
      </c>
      <c r="M55" s="12">
        <f>CUSTOS!$E$3</f>
        <v>-265.52917760075673</v>
      </c>
      <c r="N55" s="12">
        <f>CUSTOS!$E$4</f>
        <v>0</v>
      </c>
      <c r="O55" s="12">
        <f>CUSTOS!$E$5</f>
        <v>0</v>
      </c>
      <c r="P55" s="12">
        <f>CUSTOS!$E$6</f>
        <v>0</v>
      </c>
      <c r="Q55" s="12">
        <f>CUSTOS!$E$7</f>
        <v>-48767.209514869857</v>
      </c>
      <c r="R55" s="12">
        <f>CUSTOS!$E$8</f>
        <v>-8700.7586157352198</v>
      </c>
      <c r="S55" s="12">
        <f>CUSTOS!$E$9</f>
        <v>0</v>
      </c>
      <c r="T55" s="12">
        <f>CUSTOS!$E$10</f>
        <v>-57733.497308205835</v>
      </c>
      <c r="U55" s="12">
        <f>CUSTOS!$E$11</f>
        <v>0</v>
      </c>
      <c r="V55" s="12">
        <f>CUSTOS!$E$12</f>
        <v>0</v>
      </c>
      <c r="W55" s="12">
        <f>CUSTOS!$E$13</f>
        <v>0</v>
      </c>
      <c r="X55" s="12">
        <f>CUSTOS!$E$14</f>
        <v>0</v>
      </c>
      <c r="Y55" s="12">
        <f>CUSTOS!$E$15</f>
        <v>63610.411416400762</v>
      </c>
      <c r="Z55" s="12">
        <f>CUSTOS!$E$16</f>
        <v>0</v>
      </c>
      <c r="AA55" s="12">
        <f>CUSTOS!$E$17</f>
        <v>0</v>
      </c>
      <c r="AB55" s="12">
        <f>CUSTOS!$E$18</f>
        <v>63610.411416400762</v>
      </c>
      <c r="AC55" s="12">
        <f>CUSTOS!$E$19</f>
        <v>0</v>
      </c>
      <c r="AD55" s="12">
        <f>CUSTOS!$E$20</f>
        <v>0</v>
      </c>
      <c r="AE55" s="12">
        <f>CUSTOS!$E$21</f>
        <v>-305197.71894690522</v>
      </c>
      <c r="AF55" s="12">
        <f>CUSTOS!$E$22</f>
        <v>0</v>
      </c>
      <c r="AG55" s="12">
        <f>CUSTOS!$E$23</f>
        <v>-305197.71894690522</v>
      </c>
      <c r="AH55" s="12">
        <f>CUSTOS!$E$24</f>
        <v>3428.6835292660935</v>
      </c>
      <c r="AI55" s="12">
        <f>CUSTOS!$E$25</f>
        <v>0</v>
      </c>
      <c r="AJ55" s="12">
        <f>CUSTOS!$E$26</f>
        <v>0</v>
      </c>
      <c r="AK55" s="12">
        <f>CUSTOS!$E$27</f>
        <v>0</v>
      </c>
      <c r="AL55" s="12">
        <f>CUSTOS!$E$28</f>
        <v>3428.6835292660935</v>
      </c>
      <c r="AM55" s="12">
        <f>CUSTOS!$E$29</f>
        <v>-295892.12130944419</v>
      </c>
      <c r="AO55" s="17">
        <f ca="1">IF(AO53&lt;&gt;0,AO54/AO53,0)</f>
        <v>-2.4933107166677473E-2</v>
      </c>
      <c r="AP55" s="17">
        <f ca="1">IF(AP53&lt;&gt;0,AP54/AP53,0)</f>
        <v>0</v>
      </c>
    </row>
    <row r="56" spans="1:42" ht="11.25" customHeight="1" x14ac:dyDescent="0.25">
      <c r="K56" s="16" t="s">
        <v>366</v>
      </c>
      <c r="L56" s="12">
        <f>CUSTOS!$F$2</f>
        <v>0</v>
      </c>
      <c r="M56" s="12">
        <f>CUSTOS!$F$3</f>
        <v>0</v>
      </c>
      <c r="N56" s="12">
        <f>CUSTOS!$F$4</f>
        <v>0</v>
      </c>
      <c r="O56" s="12">
        <f>CUSTOS!$F$5</f>
        <v>0</v>
      </c>
      <c r="P56" s="12">
        <f>CUSTOS!$F$6</f>
        <v>0</v>
      </c>
      <c r="Q56" s="12">
        <f>CUSTOS!$F$7</f>
        <v>0</v>
      </c>
      <c r="R56" s="12">
        <f>CUSTOS!$F$8</f>
        <v>0</v>
      </c>
      <c r="S56" s="12">
        <f>CUSTOS!$F$9</f>
        <v>0</v>
      </c>
      <c r="T56" s="12">
        <f>CUSTOS!$F$10</f>
        <v>0</v>
      </c>
      <c r="U56" s="12">
        <f>CUSTOS!$F$11</f>
        <v>0</v>
      </c>
      <c r="V56" s="12">
        <f>CUSTOS!$F$12</f>
        <v>0</v>
      </c>
      <c r="W56" s="12">
        <f>CUSTOS!$F$13</f>
        <v>0</v>
      </c>
      <c r="X56" s="12">
        <f>CUSTOS!$F$14</f>
        <v>0</v>
      </c>
      <c r="Y56" s="12">
        <f>CUSTOS!$F$15</f>
        <v>0</v>
      </c>
      <c r="Z56" s="12">
        <f>CUSTOS!$F$16</f>
        <v>0</v>
      </c>
      <c r="AA56" s="12">
        <f>CUSTOS!$F$17</f>
        <v>0</v>
      </c>
      <c r="AB56" s="12">
        <f>CUSTOS!$F$18</f>
        <v>0</v>
      </c>
      <c r="AC56" s="12">
        <f>CUSTOS!$F$19</f>
        <v>0</v>
      </c>
      <c r="AD56" s="12">
        <f>CUSTOS!$F$20</f>
        <v>0</v>
      </c>
      <c r="AE56" s="12">
        <f>CUSTOS!$F$21</f>
        <v>0</v>
      </c>
      <c r="AF56" s="12">
        <f>CUSTOS!$F$22</f>
        <v>0</v>
      </c>
      <c r="AG56" s="12">
        <f>CUSTOS!$F$23</f>
        <v>0</v>
      </c>
      <c r="AH56" s="12">
        <f>CUSTOS!$F$24</f>
        <v>0</v>
      </c>
      <c r="AI56" s="12">
        <f>CUSTOS!$F$25</f>
        <v>0</v>
      </c>
      <c r="AJ56" s="12">
        <f>CUSTOS!$F$26</f>
        <v>0</v>
      </c>
      <c r="AK56" s="12">
        <f>CUSTOS!$F$27</f>
        <v>0</v>
      </c>
      <c r="AL56" s="12">
        <f>CUSTOS!$F$28</f>
        <v>0</v>
      </c>
      <c r="AM56" s="12">
        <f>CUSTOS!$F$29</f>
        <v>0</v>
      </c>
    </row>
    <row r="57" spans="1:42" ht="11.25" customHeight="1" x14ac:dyDescent="0.25">
      <c r="K57" s="16" t="s">
        <v>429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f>SUM($L$57:$S$57)</f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f>SUM($U$57:$AA$57)</f>
        <v>0</v>
      </c>
      <c r="AC57" s="12">
        <v>0</v>
      </c>
      <c r="AD57" s="12">
        <f>SUM($AC$57:$AC$57)</f>
        <v>0</v>
      </c>
      <c r="AE57" s="12">
        <v>0</v>
      </c>
      <c r="AF57" s="12">
        <v>0</v>
      </c>
      <c r="AG57" s="12">
        <f>SUM($AE$57:$AF$57)</f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f>SUM($AH$57:$AK$57)</f>
        <v>0</v>
      </c>
      <c r="AM57" s="12"/>
    </row>
    <row r="58" spans="1:42" ht="11.25" customHeight="1" x14ac:dyDescent="0.25">
      <c r="K58" s="16" t="s">
        <v>441</v>
      </c>
      <c r="L58" s="12">
        <f t="shared" ref="L58:R58" si="0">IF((L54-(0))&lt;&gt;0,(L56)/(L54-(0)),0)</f>
        <v>0</v>
      </c>
      <c r="M58" s="12">
        <f t="shared" si="0"/>
        <v>0</v>
      </c>
      <c r="N58" s="12">
        <f t="shared" si="0"/>
        <v>0</v>
      </c>
      <c r="O58" s="12">
        <f t="shared" si="0"/>
        <v>0</v>
      </c>
      <c r="P58" s="12">
        <f t="shared" si="0"/>
        <v>0</v>
      </c>
      <c r="Q58" s="12">
        <f t="shared" si="0"/>
        <v>0</v>
      </c>
      <c r="R58" s="12">
        <f t="shared" si="0"/>
        <v>0</v>
      </c>
      <c r="S58" s="12">
        <f>IF((R53-(0)&lt;&gt;0),(S55)/(R53-(0)),0)</f>
        <v>0</v>
      </c>
      <c r="T58" s="12"/>
      <c r="U58" s="12">
        <f t="shared" ref="U58:AA58" si="1">IF((U54-(0))&lt;&gt;0,(U56)/(U54-(0)),0)</f>
        <v>0</v>
      </c>
      <c r="V58" s="12">
        <f t="shared" si="1"/>
        <v>0</v>
      </c>
      <c r="W58" s="12">
        <f t="shared" si="1"/>
        <v>0</v>
      </c>
      <c r="X58" s="12">
        <f t="shared" si="1"/>
        <v>0</v>
      </c>
      <c r="Y58" s="12">
        <f t="shared" si="1"/>
        <v>0</v>
      </c>
      <c r="Z58" s="12">
        <f t="shared" si="1"/>
        <v>0</v>
      </c>
      <c r="AA58" s="12">
        <f t="shared" si="1"/>
        <v>0</v>
      </c>
      <c r="AB58" s="12"/>
      <c r="AC58" s="12">
        <f>IF((AC54-(0))&lt;&gt;0,(AC56)/(AC54-(0)),0)</f>
        <v>0</v>
      </c>
      <c r="AD58" s="12"/>
      <c r="AE58" s="12">
        <f ca="1">IF(($AM53-(0))&lt;&gt;0,(AE55)/($AM53-(0)),0)</f>
        <v>1.031449291709019</v>
      </c>
      <c r="AF58" s="12">
        <f ca="1">IF(($AM53-(0))&lt;&gt;0,(AF55)/($AM53-(0)),0)</f>
        <v>0</v>
      </c>
      <c r="AG58" s="12"/>
      <c r="AH58" s="12">
        <f>IF((AH54-(0))&lt;&gt;0,(AH56)/(AH54-(0)),0)</f>
        <v>0</v>
      </c>
      <c r="AI58" s="12">
        <f>IF((AI54-(0))&lt;&gt;0,(AI56)/(AI54-(0)),0)</f>
        <v>0</v>
      </c>
      <c r="AJ58" s="12">
        <f>IF((AJ54-(0))&lt;&gt;0,(AJ56)/(AJ54-(0)),0)</f>
        <v>0</v>
      </c>
      <c r="AK58" s="12">
        <f>IF((AK54-(0))&lt;&gt;0,(AK56)/(AK54-(0)),0)</f>
        <v>0</v>
      </c>
      <c r="AL58" s="12"/>
      <c r="AM58" s="12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698" priority="55" operator="notEqual">
      <formula>$L$55</formula>
    </cfRule>
    <cfRule type="cellIs" dxfId="697" priority="56" operator="equal">
      <formula>$L$55</formula>
    </cfRule>
  </conditionalFormatting>
  <conditionalFormatting sqref="M53">
    <cfRule type="cellIs" dxfId="696" priority="53" operator="notEqual">
      <formula>$M$55</formula>
    </cfRule>
    <cfRule type="cellIs" dxfId="695" priority="54" operator="equal">
      <formula>$M$55</formula>
    </cfRule>
  </conditionalFormatting>
  <conditionalFormatting sqref="N53">
    <cfRule type="cellIs" dxfId="694" priority="51" operator="notEqual">
      <formula>$N$55</formula>
    </cfRule>
    <cfRule type="cellIs" dxfId="693" priority="52" operator="equal">
      <formula>$N$55</formula>
    </cfRule>
  </conditionalFormatting>
  <conditionalFormatting sqref="O53">
    <cfRule type="cellIs" dxfId="692" priority="49" operator="notEqual">
      <formula>$O$55</formula>
    </cfRule>
    <cfRule type="cellIs" dxfId="691" priority="50" operator="equal">
      <formula>$O$55</formula>
    </cfRule>
  </conditionalFormatting>
  <conditionalFormatting sqref="P53">
    <cfRule type="cellIs" dxfId="690" priority="47" operator="notEqual">
      <formula>$P$55</formula>
    </cfRule>
    <cfRule type="cellIs" dxfId="689" priority="48" operator="equal">
      <formula>$P$55</formula>
    </cfRule>
  </conditionalFormatting>
  <conditionalFormatting sqref="Q53">
    <cfRule type="cellIs" dxfId="688" priority="45" operator="notEqual">
      <formula>$Q$55</formula>
    </cfRule>
    <cfRule type="cellIs" dxfId="687" priority="46" operator="equal">
      <formula>$Q$55</formula>
    </cfRule>
  </conditionalFormatting>
  <conditionalFormatting sqref="R53">
    <cfRule type="cellIs" dxfId="686" priority="43" operator="notEqual">
      <formula>$R$55</formula>
    </cfRule>
    <cfRule type="cellIs" dxfId="685" priority="44" operator="equal">
      <formula>$R$55</formula>
    </cfRule>
  </conditionalFormatting>
  <conditionalFormatting sqref="S53">
    <cfRule type="cellIs" dxfId="684" priority="41" operator="notEqual">
      <formula>$S$55</formula>
    </cfRule>
    <cfRule type="cellIs" dxfId="683" priority="42" operator="equal">
      <formula>$S$55</formula>
    </cfRule>
  </conditionalFormatting>
  <conditionalFormatting sqref="T53">
    <cfRule type="cellIs" dxfId="682" priority="39" operator="notEqual">
      <formula>$T$55</formula>
    </cfRule>
    <cfRule type="cellIs" dxfId="681" priority="40" operator="equal">
      <formula>$T$55</formula>
    </cfRule>
  </conditionalFormatting>
  <conditionalFormatting sqref="U53">
    <cfRule type="cellIs" dxfId="680" priority="37" operator="notEqual">
      <formula>$U$55</formula>
    </cfRule>
    <cfRule type="cellIs" dxfId="679" priority="38" operator="equal">
      <formula>$U$55</formula>
    </cfRule>
  </conditionalFormatting>
  <conditionalFormatting sqref="V53">
    <cfRule type="cellIs" dxfId="678" priority="35" operator="notEqual">
      <formula>$V$55</formula>
    </cfRule>
    <cfRule type="cellIs" dxfId="677" priority="36" operator="equal">
      <formula>$V$55</formula>
    </cfRule>
  </conditionalFormatting>
  <conditionalFormatting sqref="W53">
    <cfRule type="cellIs" dxfId="676" priority="33" operator="notEqual">
      <formula>$W$55</formula>
    </cfRule>
    <cfRule type="cellIs" dxfId="675" priority="34" operator="equal">
      <formula>$W$55</formula>
    </cfRule>
  </conditionalFormatting>
  <conditionalFormatting sqref="X53">
    <cfRule type="cellIs" dxfId="674" priority="31" operator="notEqual">
      <formula>$X$55</formula>
    </cfRule>
    <cfRule type="cellIs" dxfId="673" priority="32" operator="equal">
      <formula>$X$55</formula>
    </cfRule>
  </conditionalFormatting>
  <conditionalFormatting sqref="Y53">
    <cfRule type="cellIs" dxfId="672" priority="29" operator="notEqual">
      <formula>$Y$55</formula>
    </cfRule>
    <cfRule type="cellIs" dxfId="671" priority="30" operator="equal">
      <formula>$Y$55</formula>
    </cfRule>
  </conditionalFormatting>
  <conditionalFormatting sqref="Z53">
    <cfRule type="cellIs" dxfId="670" priority="27" operator="notEqual">
      <formula>$Z$55</formula>
    </cfRule>
    <cfRule type="cellIs" dxfId="669" priority="28" operator="equal">
      <formula>$Z$55</formula>
    </cfRule>
  </conditionalFormatting>
  <conditionalFormatting sqref="AA53">
    <cfRule type="cellIs" dxfId="668" priority="25" operator="notEqual">
      <formula>$AA$55</formula>
    </cfRule>
    <cfRule type="cellIs" dxfId="667" priority="26" operator="equal">
      <formula>$AA$55</formula>
    </cfRule>
  </conditionalFormatting>
  <conditionalFormatting sqref="AB53">
    <cfRule type="cellIs" dxfId="666" priority="23" operator="notEqual">
      <formula>$AB$55</formula>
    </cfRule>
    <cfRule type="cellIs" dxfId="665" priority="24" operator="equal">
      <formula>$AB$55</formula>
    </cfRule>
  </conditionalFormatting>
  <conditionalFormatting sqref="AC53">
    <cfRule type="cellIs" dxfId="664" priority="21" operator="notEqual">
      <formula>$AC$55</formula>
    </cfRule>
    <cfRule type="cellIs" dxfId="663" priority="22" operator="equal">
      <formula>$AC$55</formula>
    </cfRule>
  </conditionalFormatting>
  <conditionalFormatting sqref="AD53">
    <cfRule type="cellIs" dxfId="662" priority="19" operator="notEqual">
      <formula>$AD$55</formula>
    </cfRule>
    <cfRule type="cellIs" dxfId="661" priority="20" operator="equal">
      <formula>$AD$55</formula>
    </cfRule>
  </conditionalFormatting>
  <conditionalFormatting sqref="AE53">
    <cfRule type="cellIs" dxfId="660" priority="17" operator="notEqual">
      <formula>$AE$55</formula>
    </cfRule>
    <cfRule type="cellIs" dxfId="659" priority="18" operator="equal">
      <formula>$AE$55</formula>
    </cfRule>
  </conditionalFormatting>
  <conditionalFormatting sqref="AF53">
    <cfRule type="cellIs" dxfId="658" priority="16" operator="equal">
      <formula>$AF$55</formula>
    </cfRule>
  </conditionalFormatting>
  <conditionalFormatting sqref="AF53">
    <cfRule type="cellIs" dxfId="657" priority="15" operator="notEqual">
      <formula>$AF$55</formula>
    </cfRule>
  </conditionalFormatting>
  <conditionalFormatting sqref="AG53">
    <cfRule type="cellIs" dxfId="656" priority="14" operator="equal">
      <formula>$AG$55</formula>
    </cfRule>
  </conditionalFormatting>
  <conditionalFormatting sqref="AG53">
    <cfRule type="cellIs" dxfId="655" priority="13" operator="notEqual">
      <formula>$AG$55</formula>
    </cfRule>
  </conditionalFormatting>
  <conditionalFormatting sqref="AH53">
    <cfRule type="cellIs" dxfId="654" priority="12" operator="equal">
      <formula>$AH$55</formula>
    </cfRule>
  </conditionalFormatting>
  <conditionalFormatting sqref="AH53">
    <cfRule type="cellIs" dxfId="653" priority="11" operator="notEqual">
      <formula>$AH$55</formula>
    </cfRule>
  </conditionalFormatting>
  <conditionalFormatting sqref="AI53">
    <cfRule type="cellIs" dxfId="652" priority="10" operator="equal">
      <formula>$AI$55</formula>
    </cfRule>
  </conditionalFormatting>
  <conditionalFormatting sqref="AI53">
    <cfRule type="cellIs" dxfId="651" priority="9" operator="notEqual">
      <formula>$AI$55</formula>
    </cfRule>
  </conditionalFormatting>
  <conditionalFormatting sqref="AJ53">
    <cfRule type="cellIs" dxfId="650" priority="8" operator="equal">
      <formula>$AJ$55</formula>
    </cfRule>
  </conditionalFormatting>
  <conditionalFormatting sqref="AJ53">
    <cfRule type="cellIs" dxfId="649" priority="7" operator="notEqual">
      <formula>$AJ$55</formula>
    </cfRule>
  </conditionalFormatting>
  <conditionalFormatting sqref="AK53">
    <cfRule type="cellIs" dxfId="648" priority="6" operator="equal">
      <formula>$AK$55</formula>
    </cfRule>
  </conditionalFormatting>
  <conditionalFormatting sqref="AK53">
    <cfRule type="cellIs" dxfId="647" priority="5" operator="notEqual">
      <formula>$AK$55</formula>
    </cfRule>
  </conditionalFormatting>
  <conditionalFormatting sqref="AL53">
    <cfRule type="cellIs" dxfId="646" priority="4" operator="equal">
      <formula>$AL$55</formula>
    </cfRule>
  </conditionalFormatting>
  <conditionalFormatting sqref="AL53">
    <cfRule type="cellIs" dxfId="645" priority="3" operator="notEqual">
      <formula>$AL$55</formula>
    </cfRule>
  </conditionalFormatting>
  <conditionalFormatting sqref="AM53">
    <cfRule type="cellIs" dxfId="644" priority="2" operator="equal">
      <formula>$AM$55</formula>
    </cfRule>
  </conditionalFormatting>
  <conditionalFormatting sqref="AM53">
    <cfRule type="cellIs" dxfId="643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1490-5FF8-4D99-8CDC-58E4DD5DC546}">
  <dimension ref="A1:AP57"/>
  <sheetViews>
    <sheetView showGridLines="0" topLeftCell="X35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4" width="4.140625" style="9" bestFit="1" customWidth="1"/>
    <col min="15" max="16" width="4.8554687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7.85546875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443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O1" s="20"/>
      <c r="AP1" s="109" t="s">
        <v>425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O2" s="20"/>
      <c r="AP2" s="110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/>
      <c r="U3" s="105" t="s">
        <v>332</v>
      </c>
      <c r="V3" s="105"/>
      <c r="W3" s="105"/>
      <c r="X3" s="105"/>
      <c r="Y3" s="105"/>
      <c r="Z3" s="105"/>
      <c r="AA3" s="105"/>
      <c r="AB3" s="105"/>
      <c r="AC3" s="105" t="s">
        <v>340</v>
      </c>
      <c r="AD3" s="105"/>
      <c r="AE3" s="105" t="s">
        <v>342</v>
      </c>
      <c r="AF3" s="105"/>
      <c r="AG3" s="105"/>
      <c r="AH3" s="105" t="s">
        <v>345</v>
      </c>
      <c r="AI3" s="105"/>
      <c r="AJ3" s="105"/>
      <c r="AK3" s="105"/>
      <c r="AL3" s="105"/>
      <c r="AM3" s="105" t="s">
        <v>331</v>
      </c>
      <c r="AO3" s="20"/>
      <c r="AP3" s="110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331</v>
      </c>
      <c r="U4" s="10" t="s">
        <v>333</v>
      </c>
      <c r="V4" s="10" t="s">
        <v>334</v>
      </c>
      <c r="W4" s="10" t="s">
        <v>335</v>
      </c>
      <c r="X4" s="10" t="s">
        <v>336</v>
      </c>
      <c r="Y4" s="10" t="s">
        <v>337</v>
      </c>
      <c r="Z4" s="10" t="s">
        <v>338</v>
      </c>
      <c r="AA4" s="10" t="s">
        <v>339</v>
      </c>
      <c r="AB4" s="10" t="s">
        <v>331</v>
      </c>
      <c r="AC4" s="10" t="s">
        <v>341</v>
      </c>
      <c r="AD4" s="10" t="s">
        <v>331</v>
      </c>
      <c r="AE4" s="10" t="s">
        <v>343</v>
      </c>
      <c r="AF4" s="10" t="s">
        <v>344</v>
      </c>
      <c r="AG4" s="10" t="s">
        <v>331</v>
      </c>
      <c r="AH4" s="10" t="s">
        <v>346</v>
      </c>
      <c r="AI4" s="10" t="s">
        <v>347</v>
      </c>
      <c r="AJ4" s="10" t="s">
        <v>348</v>
      </c>
      <c r="AK4" s="10" t="s">
        <v>349</v>
      </c>
      <c r="AL4" s="10" t="s">
        <v>331</v>
      </c>
      <c r="AM4" s="107"/>
      <c r="AO4" s="21" t="s">
        <v>442</v>
      </c>
      <c r="AP4" s="111"/>
    </row>
    <row r="5" spans="1:42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>
        <f>'TUSD BE'!$L$5*'TUSD BF'!$L$58</f>
        <v>0</v>
      </c>
      <c r="M5" s="12">
        <f>'TUSD BE'!$M$5*'TUSD BF'!$M$58</f>
        <v>0</v>
      </c>
      <c r="N5" s="12">
        <f ca="1">'TUSD BE'!$N$5*'TUSD BF'!$N$58</f>
        <v>0</v>
      </c>
      <c r="O5" s="12">
        <f>'TUSD BE'!$O$5*'TUSD BF'!$O$58</f>
        <v>0</v>
      </c>
      <c r="P5" s="12">
        <f>'TUSD BE'!$P$5*'TUSD BF'!$P$58</f>
        <v>0</v>
      </c>
      <c r="Q5" s="12">
        <f>'TUSD BE'!$Q$5*'TUSD BF'!$Q$58</f>
        <v>0</v>
      </c>
      <c r="R5" s="12">
        <f>'TUSD BE'!$R$5*'TUSD BF'!$R$58</f>
        <v>0</v>
      </c>
      <c r="S5" s="12">
        <f>'TUSD BE'!$R$5*'TUSD BF'!$S$58</f>
        <v>0</v>
      </c>
      <c r="T5" s="12">
        <f ca="1">SUM($L$5:$S$5)</f>
        <v>0</v>
      </c>
      <c r="U5" s="12">
        <f>'TUSD BE'!$U$5*'TUSD BF'!$U$58</f>
        <v>0</v>
      </c>
      <c r="V5" s="12">
        <f>'TUSD BE'!$V$5*'TUSD BF'!$V$58</f>
        <v>0</v>
      </c>
      <c r="W5" s="12">
        <f>'TUSD BE'!$W$5*'TUSD BF'!$W$58</f>
        <v>0</v>
      </c>
      <c r="X5" s="12">
        <f>'TUSD BE'!$X$5*'TUSD BF'!$X$58</f>
        <v>0</v>
      </c>
      <c r="Y5" s="12">
        <f>'TUSD BE'!$Y$5*'TUSD BF'!$Y$58</f>
        <v>0</v>
      </c>
      <c r="Z5" s="12">
        <f>'TUSD BE'!$Z$5*'TUSD BF'!$Z$58</f>
        <v>0</v>
      </c>
      <c r="AA5" s="12">
        <f>'TUSD BE'!$AA$5*'TUSD BF'!$AA$58</f>
        <v>0</v>
      </c>
      <c r="AB5" s="12">
        <f>SUM($U$5:$AA$5)</f>
        <v>0</v>
      </c>
      <c r="AC5" s="12">
        <f>'TUSD BE'!$AC$5*'TUSD BF'!$AC$58</f>
        <v>0</v>
      </c>
      <c r="AD5" s="12">
        <f>SUM($AC$5:$AC$5)</f>
        <v>0</v>
      </c>
      <c r="AE5" s="12">
        <f ca="1">$AO$5*$AO$55</f>
        <v>0</v>
      </c>
      <c r="AF5" s="12">
        <f ca="1">$AP$5*$AP$55</f>
        <v>0</v>
      </c>
      <c r="AG5" s="12">
        <f ca="1">SUM($AE$5:$AF$5)</f>
        <v>0</v>
      </c>
      <c r="AH5" s="12">
        <f>'TUSD BE'!$AH$5*'TUSD BF'!$AH$58</f>
        <v>0</v>
      </c>
      <c r="AI5" s="12">
        <f>'TUSD BE'!$AI$5*'TUSD BF'!$AI$58</f>
        <v>0</v>
      </c>
      <c r="AJ5" s="12">
        <f ca="1">'TUSD BE'!$AJ$5*'TUSD BF'!$AJ$58</f>
        <v>0</v>
      </c>
      <c r="AK5" s="12">
        <f ca="1">'TUSD BE'!$AK$5*'TUSD BF'!$AK$58</f>
        <v>0</v>
      </c>
      <c r="AL5" s="12">
        <f ca="1">SUM($AH$5:$AK$5)</f>
        <v>0</v>
      </c>
      <c r="AM5" s="12">
        <f ca="1">SUMIF($L$4:$AL$4,"SUBTOTAL",$L$5:$AL$5)</f>
        <v>0</v>
      </c>
      <c r="AO5" s="20">
        <f ca="1">+'TUSD BE'!$T$5+'TUSD BE'!$AB$5+'TUSD BE'!$AD$5+'TUSD BE'!$AL$5</f>
        <v>41.621203464407124</v>
      </c>
      <c r="AP5" s="20">
        <f ca="1">+'TUSD BE'!$T$5+'TUSD BE'!$AB$5+'TUSD BE'!$AD$5+'TUSD BE'!$AL$5</f>
        <v>41.621203464407124</v>
      </c>
    </row>
    <row r="6" spans="1:42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>
        <f>'TUSD BE'!$L$6*'TUSD BF'!$L$58</f>
        <v>0</v>
      </c>
      <c r="M6" s="12">
        <f>'TUSD BE'!$M$6*'TUSD BF'!$M$58</f>
        <v>0</v>
      </c>
      <c r="N6" s="12">
        <f ca="1">'TUSD BE'!$N$6*'TUSD BF'!$N$58</f>
        <v>0</v>
      </c>
      <c r="O6" s="12">
        <f>'TUSD BE'!$O$6*'TUSD BF'!$O$58</f>
        <v>0</v>
      </c>
      <c r="P6" s="12">
        <f>'TUSD BE'!$P$6*'TUSD BF'!$P$58</f>
        <v>0</v>
      </c>
      <c r="Q6" s="12">
        <f>'TUSD BE'!$Q$6*'TUSD BF'!$Q$58</f>
        <v>0</v>
      </c>
      <c r="R6" s="12">
        <f>'TUSD BE'!$R$6*'TUSD BF'!$R$58</f>
        <v>0</v>
      </c>
      <c r="S6" s="12">
        <f>'TUSD BE'!$R$6*'TUSD BF'!$S$58</f>
        <v>0</v>
      </c>
      <c r="T6" s="12">
        <f ca="1">SUM($L$6:$S$6)</f>
        <v>0</v>
      </c>
      <c r="U6" s="12">
        <f>'TUSD BE'!$U$6*'TUSD BF'!$U$58</f>
        <v>0</v>
      </c>
      <c r="V6" s="12">
        <f>'TUSD BE'!$V$6*'TUSD BF'!$V$58</f>
        <v>0</v>
      </c>
      <c r="W6" s="12">
        <f>'TUSD BE'!$W$6*'TUSD BF'!$W$58</f>
        <v>0</v>
      </c>
      <c r="X6" s="12">
        <f>'TUSD BE'!$X$6*'TUSD BF'!$X$58</f>
        <v>0</v>
      </c>
      <c r="Y6" s="12">
        <f>'TUSD BE'!$Y$6*'TUSD BF'!$Y$58</f>
        <v>0</v>
      </c>
      <c r="Z6" s="12">
        <f>'TUSD BE'!$Z$6*'TUSD BF'!$Z$58</f>
        <v>0</v>
      </c>
      <c r="AA6" s="12">
        <f>'TUSD BE'!$AA$6*'TUSD BF'!$AA$58</f>
        <v>0</v>
      </c>
      <c r="AB6" s="12">
        <f>SUM($U$6:$AA$6)</f>
        <v>0</v>
      </c>
      <c r="AC6" s="12">
        <f>'TUSD BE'!$AC$6*'TUSD BF'!$AC$58</f>
        <v>0</v>
      </c>
      <c r="AD6" s="12">
        <f>SUM($AC$6:$AC$6)</f>
        <v>0</v>
      </c>
      <c r="AE6" s="12">
        <f ca="1">$AO$6*$AO$55</f>
        <v>0</v>
      </c>
      <c r="AF6" s="12">
        <f ca="1">$AP$6*$AP$55</f>
        <v>0</v>
      </c>
      <c r="AG6" s="12">
        <f ca="1">SUM($AE$6:$AF$6)</f>
        <v>0</v>
      </c>
      <c r="AH6" s="12">
        <f>'TUSD BE'!$AH$6*'TUSD BF'!$AH$58</f>
        <v>0</v>
      </c>
      <c r="AI6" s="12">
        <f>'TUSD BE'!$AI$6*'TUSD BF'!$AI$58</f>
        <v>0</v>
      </c>
      <c r="AJ6" s="12">
        <f ca="1">'TUSD BE'!$AJ$6*'TUSD BF'!$AJ$58</f>
        <v>0</v>
      </c>
      <c r="AK6" s="12">
        <f ca="1">'TUSD BE'!$AK$6*'TUSD BF'!$AK$58</f>
        <v>0</v>
      </c>
      <c r="AL6" s="12">
        <f ca="1">SUM($AH$6:$AK$6)</f>
        <v>0</v>
      </c>
      <c r="AM6" s="12">
        <f ca="1">SUMIF($L$4:$AL$4,"SUBTOTAL",$L$6:$AL$6)</f>
        <v>0</v>
      </c>
      <c r="AO6" s="20">
        <f ca="1">+'TUSD BE'!$T$6+'TUSD BE'!$AB$6+'TUSD BE'!$AD$6+'TUSD BE'!$AL$6</f>
        <v>14.959845559455172</v>
      </c>
      <c r="AP6" s="20">
        <f ca="1">+'TUSD BE'!$T$6+'TUSD BE'!$AB$6+'TUSD BE'!$AD$6+'TUSD BE'!$AL$6</f>
        <v>14.959845559455172</v>
      </c>
    </row>
    <row r="7" spans="1:42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>
        <f>'TUSD BE'!$L$7*'TUSD BF'!$L$58</f>
        <v>0</v>
      </c>
      <c r="M7" s="12">
        <f>'TUSD BE'!$M$7*'TUSD BF'!$M$58</f>
        <v>0</v>
      </c>
      <c r="N7" s="12">
        <f ca="1">'TUSD BE'!$N$7*'TUSD BF'!$N$58</f>
        <v>0</v>
      </c>
      <c r="O7" s="12">
        <f>'TUSD BE'!$O$7*'TUSD BF'!$O$58</f>
        <v>0</v>
      </c>
      <c r="P7" s="12">
        <f>'TUSD BE'!$P$7*'TUSD BF'!$P$58</f>
        <v>0</v>
      </c>
      <c r="Q7" s="12">
        <f>'TUSD BE'!$Q$7*'TUSD BF'!$Q$58</f>
        <v>0</v>
      </c>
      <c r="R7" s="12">
        <f>'TUSD BE'!$R$7*'TUSD BF'!$R$58</f>
        <v>0</v>
      </c>
      <c r="S7" s="12">
        <f>'TUSD BE'!$R$7*'TUSD BF'!$S$58</f>
        <v>0</v>
      </c>
      <c r="T7" s="12">
        <f ca="1">SUM($L$7:$S$7)</f>
        <v>0</v>
      </c>
      <c r="U7" s="12">
        <f>'TUSD BE'!$U$7*'TUSD BF'!$U$58</f>
        <v>0</v>
      </c>
      <c r="V7" s="12">
        <f>'TUSD BE'!$V$7*'TUSD BF'!$V$58</f>
        <v>0</v>
      </c>
      <c r="W7" s="12">
        <f>'TUSD BE'!$W$7*'TUSD BF'!$W$58</f>
        <v>0</v>
      </c>
      <c r="X7" s="12">
        <f>'TUSD BE'!$X$7*'TUSD BF'!$X$58</f>
        <v>0</v>
      </c>
      <c r="Y7" s="12">
        <f>'TUSD BE'!$Y$7*'TUSD BF'!$Y$58</f>
        <v>0</v>
      </c>
      <c r="Z7" s="12">
        <f>'TUSD BE'!$Z$7*'TUSD BF'!$Z$58</f>
        <v>0</v>
      </c>
      <c r="AA7" s="12">
        <f>'TUSD BE'!$AA$7*'TUSD BF'!$AA$58</f>
        <v>0</v>
      </c>
      <c r="AB7" s="12">
        <f>SUM($U$7:$AA$7)</f>
        <v>0</v>
      </c>
      <c r="AC7" s="12">
        <f>'TUSD BE'!$AC$7*'TUSD BF'!$AC$58</f>
        <v>0</v>
      </c>
      <c r="AD7" s="12">
        <f>SUM($AC$7:$AC$7)</f>
        <v>0</v>
      </c>
      <c r="AE7" s="12">
        <f ca="1">$AO$7*$AO$55</f>
        <v>0</v>
      </c>
      <c r="AF7" s="12">
        <f ca="1">$AP$7*$AP$55</f>
        <v>0</v>
      </c>
      <c r="AG7" s="12">
        <f ca="1">SUM($AE$7:$AF$7)</f>
        <v>0</v>
      </c>
      <c r="AH7" s="12">
        <f>'TUSD BE'!$AH$7*'TUSD BF'!$AH$58</f>
        <v>0</v>
      </c>
      <c r="AI7" s="12">
        <f>'TUSD BE'!$AI$7*'TUSD BF'!$AI$58</f>
        <v>0</v>
      </c>
      <c r="AJ7" s="12">
        <f ca="1">'TUSD BE'!$AJ$7*'TUSD BF'!$AJ$58</f>
        <v>0</v>
      </c>
      <c r="AK7" s="12">
        <f ca="1">'TUSD BE'!$AK$7*'TUSD BF'!$AK$58</f>
        <v>0</v>
      </c>
      <c r="AL7" s="12">
        <f ca="1">SUM($AH$7:$AK$7)</f>
        <v>0</v>
      </c>
      <c r="AM7" s="12">
        <f ca="1">SUMIF($L$4:$AL$4,"SUBTOTAL",$L$7:$AL$7)</f>
        <v>0</v>
      </c>
      <c r="AO7" s="20">
        <f ca="1">+'TUSD BE'!$T$7+'TUSD BE'!$AB$7+'TUSD BE'!$AD$7+'TUSD BE'!$AL$7</f>
        <v>96.688228108444164</v>
      </c>
      <c r="AP7" s="20">
        <f ca="1">+'TUSD BE'!$T$7+'TUSD BE'!$AB$7+'TUSD BE'!$AD$7+'TUSD BE'!$AL$7</f>
        <v>96.688228108444164</v>
      </c>
    </row>
    <row r="8" spans="1:42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>
        <f>'TUSD BE'!$L$8*'TUSD BF'!$L$58</f>
        <v>0</v>
      </c>
      <c r="M8" s="12">
        <f>'TUSD BE'!$M$8*'TUSD BF'!$M$58</f>
        <v>0</v>
      </c>
      <c r="N8" s="12">
        <f ca="1">'TUSD BE'!$N$8*'TUSD BF'!$N$58</f>
        <v>0</v>
      </c>
      <c r="O8" s="12">
        <f>'TUSD BE'!$O$8*'TUSD BF'!$O$58</f>
        <v>0</v>
      </c>
      <c r="P8" s="12">
        <f>'TUSD BE'!$P$8*'TUSD BF'!$P$58</f>
        <v>0</v>
      </c>
      <c r="Q8" s="12">
        <f>'TUSD BE'!$Q$8*'TUSD BF'!$Q$58</f>
        <v>0</v>
      </c>
      <c r="R8" s="12">
        <f>'TUSD BE'!$R$8*'TUSD BF'!$R$58</f>
        <v>0</v>
      </c>
      <c r="S8" s="12">
        <f>'TUSD BE'!$R$8*'TUSD BF'!$S$58</f>
        <v>0</v>
      </c>
      <c r="T8" s="12">
        <f ca="1">SUM($L$8:$S$8)</f>
        <v>0</v>
      </c>
      <c r="U8" s="12">
        <f>'TUSD BE'!$U$8*'TUSD BF'!$U$58</f>
        <v>0</v>
      </c>
      <c r="V8" s="12">
        <f>'TUSD BE'!$V$8*'TUSD BF'!$V$58</f>
        <v>0</v>
      </c>
      <c r="W8" s="12">
        <f>'TUSD BE'!$W$8*'TUSD BF'!$W$58</f>
        <v>0</v>
      </c>
      <c r="X8" s="12">
        <f>'TUSD BE'!$X$8*'TUSD BF'!$X$58</f>
        <v>0</v>
      </c>
      <c r="Y8" s="12">
        <f>'TUSD BE'!$Y$8*'TUSD BF'!$Y$58</f>
        <v>0</v>
      </c>
      <c r="Z8" s="12">
        <f>'TUSD BE'!$Z$8*'TUSD BF'!$Z$58</f>
        <v>0</v>
      </c>
      <c r="AA8" s="12">
        <f>'TUSD BE'!$AA$8*'TUSD BF'!$AA$58</f>
        <v>0</v>
      </c>
      <c r="AB8" s="12">
        <f>SUM($U$8:$AA$8)</f>
        <v>0</v>
      </c>
      <c r="AC8" s="12">
        <f>'TUSD BE'!$AC$8*'TUSD BF'!$AC$58</f>
        <v>0</v>
      </c>
      <c r="AD8" s="12">
        <f>SUM($AC$8:$AC$8)</f>
        <v>0</v>
      </c>
      <c r="AE8" s="12">
        <f ca="1">$AO$8*$AO$55</f>
        <v>0</v>
      </c>
      <c r="AF8" s="12">
        <f ca="1">$AP$8*$AP$55</f>
        <v>0</v>
      </c>
      <c r="AG8" s="12">
        <f ca="1">SUM($AE$8:$AF$8)</f>
        <v>0</v>
      </c>
      <c r="AH8" s="12">
        <f>'TUSD BE'!$AH$8*'TUSD BF'!$AH$58</f>
        <v>0</v>
      </c>
      <c r="AI8" s="12">
        <f>'TUSD BE'!$AI$8*'TUSD BF'!$AI$58</f>
        <v>0</v>
      </c>
      <c r="AJ8" s="12">
        <f ca="1">'TUSD BE'!$AJ$8*'TUSD BF'!$AJ$58</f>
        <v>0</v>
      </c>
      <c r="AK8" s="12">
        <f ca="1">'TUSD BE'!$AK$8*'TUSD BF'!$AK$58</f>
        <v>0</v>
      </c>
      <c r="AL8" s="12">
        <f ca="1">SUM($AH$8:$AK$8)</f>
        <v>0</v>
      </c>
      <c r="AM8" s="12">
        <f ca="1">SUMIF($L$4:$AL$4,"SUBTOTAL",$L$8:$AL$8)</f>
        <v>0</v>
      </c>
      <c r="AO8" s="20">
        <f ca="1">+'TUSD BE'!$T$8+'TUSD BE'!$AB$8+'TUSD BE'!$AD$8+'TUSD BE'!$AL$8</f>
        <v>7.1038591837118963</v>
      </c>
      <c r="AP8" s="20">
        <f ca="1">+'TUSD BE'!$T$8+'TUSD BE'!$AB$8+'TUSD BE'!$AD$8+'TUSD BE'!$AL$8</f>
        <v>7.1038591837118963</v>
      </c>
    </row>
    <row r="9" spans="1:42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>
        <f>'TUSD BE'!$L$9*'TUSD BF'!$L$58</f>
        <v>0</v>
      </c>
      <c r="M9" s="12">
        <f>'TUSD BE'!$M$9*'TUSD BF'!$M$58</f>
        <v>0</v>
      </c>
      <c r="N9" s="12">
        <f ca="1">'TUSD BE'!$N$9*'TUSD BF'!$N$58</f>
        <v>0</v>
      </c>
      <c r="O9" s="12">
        <f>'TUSD BE'!$O$9*'TUSD BF'!$O$58</f>
        <v>0</v>
      </c>
      <c r="P9" s="12">
        <f>'TUSD BE'!$P$9*'TUSD BF'!$P$58</f>
        <v>0</v>
      </c>
      <c r="Q9" s="12">
        <f>'TUSD BE'!$Q$9*'TUSD BF'!$Q$58</f>
        <v>0</v>
      </c>
      <c r="R9" s="12">
        <f>'TUSD BE'!$R$9*'TUSD BF'!$R$58</f>
        <v>0</v>
      </c>
      <c r="S9" s="12">
        <f>'TUSD BE'!$R$9*'TUSD BF'!$S$58</f>
        <v>0</v>
      </c>
      <c r="T9" s="12">
        <f ca="1">SUM($L$9:$S$9)</f>
        <v>0</v>
      </c>
      <c r="U9" s="12">
        <f>'TUSD BE'!$U$9*'TUSD BF'!$U$58</f>
        <v>0</v>
      </c>
      <c r="V9" s="12">
        <f>'TUSD BE'!$V$9*'TUSD BF'!$V$58</f>
        <v>0</v>
      </c>
      <c r="W9" s="12">
        <f>'TUSD BE'!$W$9*'TUSD BF'!$W$58</f>
        <v>0</v>
      </c>
      <c r="X9" s="12">
        <f>'TUSD BE'!$X$9*'TUSD BF'!$X$58</f>
        <v>0</v>
      </c>
      <c r="Y9" s="12">
        <f>'TUSD BE'!$Y$9*'TUSD BF'!$Y$58</f>
        <v>0</v>
      </c>
      <c r="Z9" s="12">
        <f>'TUSD BE'!$Z$9*'TUSD BF'!$Z$58</f>
        <v>0</v>
      </c>
      <c r="AA9" s="12">
        <f>'TUSD BE'!$AA$9*'TUSD BF'!$AA$58</f>
        <v>0</v>
      </c>
      <c r="AB9" s="12">
        <f>SUM($U$9:$AA$9)</f>
        <v>0</v>
      </c>
      <c r="AC9" s="12">
        <f>'TUSD BE'!$AC$9*'TUSD BF'!$AC$58</f>
        <v>0</v>
      </c>
      <c r="AD9" s="12">
        <f>SUM($AC$9:$AC$9)</f>
        <v>0</v>
      </c>
      <c r="AE9" s="12">
        <f ca="1">$AO$9*$AO$55</f>
        <v>0</v>
      </c>
      <c r="AF9" s="12">
        <f ca="1">$AP$9*$AP$55</f>
        <v>0</v>
      </c>
      <c r="AG9" s="12">
        <f ca="1">SUM($AE$9:$AF$9)</f>
        <v>0</v>
      </c>
      <c r="AH9" s="12">
        <f>'TUSD BE'!$AH$9*'TUSD BF'!$AH$58</f>
        <v>0</v>
      </c>
      <c r="AI9" s="12">
        <f>'TUSD BE'!$AI$9*'TUSD BF'!$AI$58</f>
        <v>0</v>
      </c>
      <c r="AJ9" s="12">
        <f ca="1">'TUSD BE'!$AJ$9*'TUSD BF'!$AJ$58</f>
        <v>0</v>
      </c>
      <c r="AK9" s="12">
        <f ca="1">'TUSD BE'!$AK$9*'TUSD BF'!$AK$58</f>
        <v>0</v>
      </c>
      <c r="AL9" s="12">
        <f ca="1">SUM($AH$9:$AK$9)</f>
        <v>0</v>
      </c>
      <c r="AM9" s="12">
        <f ca="1">SUMIF($L$4:$AL$4,"SUBTOTAL",$L$9:$AL$9)</f>
        <v>0</v>
      </c>
      <c r="AO9" s="20">
        <f ca="1">+'TUSD BE'!$T$9+'TUSD BE'!$AB$9+'TUSD BE'!$AD$9+'TUSD BE'!$AL$9</f>
        <v>4.5647196338943905</v>
      </c>
      <c r="AP9" s="20">
        <f ca="1">+'TUSD BE'!$T$9+'TUSD BE'!$AB$9+'TUSD BE'!$AD$9+'TUSD BE'!$AL$9</f>
        <v>4.5647196338943905</v>
      </c>
    </row>
    <row r="10" spans="1:42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>
        <f>'TUSD BE'!$L$10*'TUSD BF'!$L$58</f>
        <v>0</v>
      </c>
      <c r="M10" s="12">
        <f>'TUSD BE'!$M$10*'TUSD BF'!$M$58</f>
        <v>0</v>
      </c>
      <c r="N10" s="12">
        <f ca="1">'TUSD BE'!$N$10*'TUSD BF'!$N$58</f>
        <v>0</v>
      </c>
      <c r="O10" s="12">
        <f>'TUSD BE'!$O$10*'TUSD BF'!$O$58</f>
        <v>0</v>
      </c>
      <c r="P10" s="12">
        <f>'TUSD BE'!$P$10*'TUSD BF'!$P$58</f>
        <v>0</v>
      </c>
      <c r="Q10" s="12">
        <f>'TUSD BE'!$Q$10*'TUSD BF'!$Q$58</f>
        <v>0</v>
      </c>
      <c r="R10" s="12">
        <f>'TUSD BE'!$R$10*'TUSD BF'!$R$58</f>
        <v>0</v>
      </c>
      <c r="S10" s="12">
        <f>'TUSD BE'!$R$10*'TUSD BF'!$S$58</f>
        <v>0</v>
      </c>
      <c r="T10" s="12">
        <f ca="1">SUM($L$10:$S$10)</f>
        <v>0</v>
      </c>
      <c r="U10" s="12">
        <f>'TUSD BE'!$U$10*'TUSD BF'!$U$58</f>
        <v>0</v>
      </c>
      <c r="V10" s="12">
        <f>'TUSD BE'!$V$10*'TUSD BF'!$V$58</f>
        <v>0</v>
      </c>
      <c r="W10" s="12">
        <f>'TUSD BE'!$W$10*'TUSD BF'!$W$58</f>
        <v>0</v>
      </c>
      <c r="X10" s="12">
        <f>'TUSD BE'!$X$10*'TUSD BF'!$X$58</f>
        <v>0</v>
      </c>
      <c r="Y10" s="12">
        <f>'TUSD BE'!$Y$10*'TUSD BF'!$Y$58</f>
        <v>0</v>
      </c>
      <c r="Z10" s="12">
        <f>'TUSD BE'!$Z$10*'TUSD BF'!$Z$58</f>
        <v>0</v>
      </c>
      <c r="AA10" s="12">
        <f>'TUSD BE'!$AA$10*'TUSD BF'!$AA$58</f>
        <v>0</v>
      </c>
      <c r="AB10" s="12">
        <f>SUM($U$10:$AA$10)</f>
        <v>0</v>
      </c>
      <c r="AC10" s="12">
        <f>'TUSD BE'!$AC$10*'TUSD BF'!$AC$58</f>
        <v>0</v>
      </c>
      <c r="AD10" s="12">
        <f>SUM($AC$10:$AC$10)</f>
        <v>0</v>
      </c>
      <c r="AE10" s="12">
        <f ca="1">$AO$10*$AO$55</f>
        <v>0</v>
      </c>
      <c r="AF10" s="12">
        <f ca="1">$AP$10*$AP$55</f>
        <v>0</v>
      </c>
      <c r="AG10" s="12">
        <f ca="1">SUM($AE$10:$AF$10)</f>
        <v>0</v>
      </c>
      <c r="AH10" s="12">
        <f>'TUSD BE'!$AH$10*'TUSD BF'!$AH$58</f>
        <v>0</v>
      </c>
      <c r="AI10" s="12">
        <f>'TUSD BE'!$AI$10*'TUSD BF'!$AI$58</f>
        <v>0</v>
      </c>
      <c r="AJ10" s="12">
        <f ca="1">'TUSD BE'!$AJ$10*'TUSD BF'!$AJ$58</f>
        <v>0</v>
      </c>
      <c r="AK10" s="12">
        <f ca="1">'TUSD BE'!$AK$10*'TUSD BF'!$AK$58</f>
        <v>0</v>
      </c>
      <c r="AL10" s="12">
        <f ca="1">SUM($AH$10:$AK$10)</f>
        <v>0</v>
      </c>
      <c r="AM10" s="12">
        <f ca="1">SUMIF($L$4:$AL$4,"SUBTOTAL",$L$10:$AL$10)</f>
        <v>0</v>
      </c>
      <c r="AO10" s="20">
        <f ca="1">+'TUSD BE'!$T$10+'TUSD BE'!$AB$10+'TUSD BE'!$AD$10+'TUSD BE'!$AL$10</f>
        <v>14.959845559455172</v>
      </c>
      <c r="AP10" s="20">
        <f ca="1">+'TUSD BE'!$T$10+'TUSD BE'!$AB$10+'TUSD BE'!$AD$10+'TUSD BE'!$AL$10</f>
        <v>14.959845559455172</v>
      </c>
    </row>
    <row r="11" spans="1:42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>
        <f>'TUSD BE'!$L$11*'TUSD BF'!$L$58</f>
        <v>0</v>
      </c>
      <c r="M11" s="12">
        <f>'TUSD BE'!$M$11*'TUSD BF'!$M$58</f>
        <v>0</v>
      </c>
      <c r="N11" s="12">
        <f ca="1">'TUSD BE'!$N$11*'TUSD BF'!$N$58</f>
        <v>0</v>
      </c>
      <c r="O11" s="12">
        <f>'TUSD BE'!$O$11*'TUSD BF'!$O$58</f>
        <v>0</v>
      </c>
      <c r="P11" s="12">
        <f>'TUSD BE'!$P$11*'TUSD BF'!$P$58</f>
        <v>0</v>
      </c>
      <c r="Q11" s="12">
        <f>'TUSD BE'!$Q$11*'TUSD BF'!$Q$58</f>
        <v>0</v>
      </c>
      <c r="R11" s="12">
        <f>'TUSD BE'!$R$11*'TUSD BF'!$R$58</f>
        <v>0</v>
      </c>
      <c r="S11" s="12">
        <f>'TUSD BE'!$R$11*'TUSD BF'!$S$58</f>
        <v>0</v>
      </c>
      <c r="T11" s="12">
        <f ca="1">SUM($L$11:$S$11)</f>
        <v>0</v>
      </c>
      <c r="U11" s="12">
        <f>'TUSD BE'!$U$11*'TUSD BF'!$U$58</f>
        <v>0</v>
      </c>
      <c r="V11" s="12">
        <f>'TUSD BE'!$V$11*'TUSD BF'!$V$58</f>
        <v>0</v>
      </c>
      <c r="W11" s="12">
        <f>'TUSD BE'!$W$11*'TUSD BF'!$W$58</f>
        <v>0</v>
      </c>
      <c r="X11" s="12">
        <f>'TUSD BE'!$X$11*'TUSD BF'!$X$58</f>
        <v>0</v>
      </c>
      <c r="Y11" s="12">
        <f>'TUSD BE'!$Y$11*'TUSD BF'!$Y$58</f>
        <v>0</v>
      </c>
      <c r="Z11" s="12">
        <f>'TUSD BE'!$Z$11*'TUSD BF'!$Z$58</f>
        <v>0</v>
      </c>
      <c r="AA11" s="12">
        <f>'TUSD BE'!$AA$11*'TUSD BF'!$AA$58</f>
        <v>0</v>
      </c>
      <c r="AB11" s="12">
        <f>SUM($U$11:$AA$11)</f>
        <v>0</v>
      </c>
      <c r="AC11" s="12">
        <f>'TUSD BE'!$AC$11*'TUSD BF'!$AC$58</f>
        <v>0</v>
      </c>
      <c r="AD11" s="12">
        <f>SUM($AC$11:$AC$11)</f>
        <v>0</v>
      </c>
      <c r="AE11" s="12">
        <f ca="1">$AO$11*$AO$55</f>
        <v>0</v>
      </c>
      <c r="AF11" s="12">
        <f ca="1">$AP$11*$AP$55</f>
        <v>0</v>
      </c>
      <c r="AG11" s="12">
        <f ca="1">SUM($AE$11:$AF$11)</f>
        <v>0</v>
      </c>
      <c r="AH11" s="12">
        <f>'TUSD BE'!$AH$11*'TUSD BF'!$AH$58</f>
        <v>0</v>
      </c>
      <c r="AI11" s="12">
        <f>'TUSD BE'!$AI$11*'TUSD BF'!$AI$58</f>
        <v>0</v>
      </c>
      <c r="AJ11" s="12">
        <f ca="1">'TUSD BE'!$AJ$11*'TUSD BF'!$AJ$58</f>
        <v>0</v>
      </c>
      <c r="AK11" s="12">
        <f ca="1">'TUSD BE'!$AK$11*'TUSD BF'!$AK$58</f>
        <v>0</v>
      </c>
      <c r="AL11" s="12">
        <f ca="1">SUM($AH$11:$AK$11)</f>
        <v>0</v>
      </c>
      <c r="AM11" s="12">
        <f ca="1">SUMIF($L$4:$AL$4,"SUBTOTAL",$L$11:$AL$11)</f>
        <v>0</v>
      </c>
      <c r="AO11" s="20">
        <f ca="1">+'TUSD BE'!$T$11+'TUSD BE'!$AB$11+'TUSD BE'!$AD$11+'TUSD BE'!$AL$11</f>
        <v>1097.8329883678218</v>
      </c>
      <c r="AP11" s="20">
        <f ca="1">+'TUSD BE'!$T$11+'TUSD BE'!$AB$11+'TUSD BE'!$AD$11+'TUSD BE'!$AL$11</f>
        <v>1097.8329883678218</v>
      </c>
    </row>
    <row r="12" spans="1:42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>
        <f>'TUSD BE'!$L$12*'TUSD BF'!$L$58</f>
        <v>0</v>
      </c>
      <c r="M12" s="12">
        <f>'TUSD BE'!$M$12*'TUSD BF'!$M$58</f>
        <v>0</v>
      </c>
      <c r="N12" s="12">
        <f ca="1">'TUSD BE'!$N$12*'TUSD BF'!$N$58</f>
        <v>0</v>
      </c>
      <c r="O12" s="12">
        <f>'TUSD BE'!$O$12*'TUSD BF'!$O$58</f>
        <v>0</v>
      </c>
      <c r="P12" s="12">
        <f>'TUSD BE'!$P$12*'TUSD BF'!$P$58</f>
        <v>0</v>
      </c>
      <c r="Q12" s="12">
        <f>'TUSD BE'!$Q$12*'TUSD BF'!$Q$58</f>
        <v>0</v>
      </c>
      <c r="R12" s="12">
        <f>'TUSD BE'!$R$12*'TUSD BF'!$R$58</f>
        <v>0</v>
      </c>
      <c r="S12" s="12">
        <f>'TUSD BE'!$R$12*'TUSD BF'!$S$58</f>
        <v>0</v>
      </c>
      <c r="T12" s="12">
        <f ca="1">SUM($L$12:$S$12)</f>
        <v>0</v>
      </c>
      <c r="U12" s="12">
        <f>'TUSD BE'!$U$12*'TUSD BF'!$U$58</f>
        <v>0</v>
      </c>
      <c r="V12" s="12">
        <f>'TUSD BE'!$V$12*'TUSD BF'!$V$58</f>
        <v>0</v>
      </c>
      <c r="W12" s="12">
        <f>'TUSD BE'!$W$12*'TUSD BF'!$W$58</f>
        <v>0</v>
      </c>
      <c r="X12" s="12">
        <f>'TUSD BE'!$X$12*'TUSD BF'!$X$58</f>
        <v>0</v>
      </c>
      <c r="Y12" s="12">
        <f>'TUSD BE'!$Y$12*'TUSD BF'!$Y$58</f>
        <v>0</v>
      </c>
      <c r="Z12" s="12">
        <f>'TUSD BE'!$Z$12*'TUSD BF'!$Z$58</f>
        <v>0</v>
      </c>
      <c r="AA12" s="12">
        <f>'TUSD BE'!$AA$12*'TUSD BF'!$AA$58</f>
        <v>0</v>
      </c>
      <c r="AB12" s="12">
        <f>SUM($U$12:$AA$12)</f>
        <v>0</v>
      </c>
      <c r="AC12" s="12">
        <f>'TUSD BE'!$AC$12*'TUSD BF'!$AC$58</f>
        <v>0</v>
      </c>
      <c r="AD12" s="12">
        <f>SUM($AC$12:$AC$12)</f>
        <v>0</v>
      </c>
      <c r="AE12" s="12">
        <f ca="1">$AO$12*$AO$55</f>
        <v>0</v>
      </c>
      <c r="AF12" s="12">
        <f ca="1">$AP$12*$AP$55</f>
        <v>0</v>
      </c>
      <c r="AG12" s="12">
        <f ca="1">SUM($AE$12:$AF$12)</f>
        <v>0</v>
      </c>
      <c r="AH12" s="12">
        <f>'TUSD BE'!$AH$12*'TUSD BF'!$AH$58</f>
        <v>0</v>
      </c>
      <c r="AI12" s="12">
        <f>'TUSD BE'!$AI$12*'TUSD BF'!$AI$58</f>
        <v>0</v>
      </c>
      <c r="AJ12" s="12">
        <f ca="1">'TUSD BE'!$AJ$12*'TUSD BF'!$AJ$58</f>
        <v>0</v>
      </c>
      <c r="AK12" s="12">
        <f ca="1">'TUSD BE'!$AK$12*'TUSD BF'!$AK$58</f>
        <v>0</v>
      </c>
      <c r="AL12" s="12">
        <f ca="1">SUM($AH$12:$AK$12)</f>
        <v>0</v>
      </c>
      <c r="AM12" s="12">
        <f ca="1">SUMIF($L$4:$AL$4,"SUBTOTAL",$L$12:$AL$12)</f>
        <v>0</v>
      </c>
      <c r="AO12" s="20">
        <f ca="1">+'TUSD BE'!$T$12+'TUSD BE'!$AB$12+'TUSD BE'!$AD$12+'TUSD BE'!$AL$12</f>
        <v>96.688228108444164</v>
      </c>
      <c r="AP12" s="20">
        <f ca="1">+'TUSD BE'!$T$12+'TUSD BE'!$AB$12+'TUSD BE'!$AD$12+'TUSD BE'!$AL$12</f>
        <v>96.688228108444164</v>
      </c>
    </row>
    <row r="13" spans="1:42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>
        <f>'TUSD BE'!$L$13*'TUSD BF'!$L$58</f>
        <v>0</v>
      </c>
      <c r="M13" s="12">
        <f>'TUSD BE'!$M$13*'TUSD BF'!$M$58</f>
        <v>0</v>
      </c>
      <c r="N13" s="12">
        <f ca="1">'TUSD BE'!$N$13*'TUSD BF'!$N$58</f>
        <v>0</v>
      </c>
      <c r="O13" s="12">
        <f>'TUSD BE'!$O$13*'TUSD BF'!$O$58</f>
        <v>0</v>
      </c>
      <c r="P13" s="12">
        <f>'TUSD BE'!$P$13*'TUSD BF'!$P$58</f>
        <v>0</v>
      </c>
      <c r="Q13" s="12">
        <f>'TUSD BE'!$Q$13*'TUSD BF'!$Q$58</f>
        <v>0</v>
      </c>
      <c r="R13" s="12">
        <f>'TUSD BE'!$R$13*'TUSD BF'!$R$58</f>
        <v>0</v>
      </c>
      <c r="S13" s="12">
        <f>'TUSD BE'!$R$13*'TUSD BF'!$S$58</f>
        <v>0</v>
      </c>
      <c r="T13" s="12">
        <f ca="1">SUM($L$13:$S$13)</f>
        <v>0</v>
      </c>
      <c r="U13" s="12">
        <f>'TUSD BE'!$U$13*'TUSD BF'!$U$58</f>
        <v>0</v>
      </c>
      <c r="V13" s="12">
        <f>'TUSD BE'!$V$13*'TUSD BF'!$V$58</f>
        <v>0</v>
      </c>
      <c r="W13" s="12">
        <f>'TUSD BE'!$W$13*'TUSD BF'!$W$58</f>
        <v>0</v>
      </c>
      <c r="X13" s="12">
        <f>'TUSD BE'!$X$13*'TUSD BF'!$X$58</f>
        <v>0</v>
      </c>
      <c r="Y13" s="12">
        <f>'TUSD BE'!$Y$13*'TUSD BF'!$Y$58</f>
        <v>0</v>
      </c>
      <c r="Z13" s="12">
        <f>'TUSD BE'!$Z$13*'TUSD BF'!$Z$58</f>
        <v>0</v>
      </c>
      <c r="AA13" s="12">
        <f>'TUSD BE'!$AA$13*'TUSD BF'!$AA$58</f>
        <v>0</v>
      </c>
      <c r="AB13" s="12">
        <f>SUM($U$13:$AA$13)</f>
        <v>0</v>
      </c>
      <c r="AC13" s="12">
        <f>'TUSD BE'!$AC$13*'TUSD BF'!$AC$58</f>
        <v>0</v>
      </c>
      <c r="AD13" s="12">
        <f>SUM($AC$13:$AC$13)</f>
        <v>0</v>
      </c>
      <c r="AE13" s="12">
        <f ca="1">$AO$13*$AO$55</f>
        <v>0</v>
      </c>
      <c r="AF13" s="12">
        <f ca="1">$AP$13*$AP$55</f>
        <v>0</v>
      </c>
      <c r="AG13" s="12">
        <f ca="1">SUM($AE$13:$AF$13)</f>
        <v>0</v>
      </c>
      <c r="AH13" s="12">
        <f>'TUSD BE'!$AH$13*'TUSD BF'!$AH$58</f>
        <v>0</v>
      </c>
      <c r="AI13" s="12">
        <f>'TUSD BE'!$AI$13*'TUSD BF'!$AI$58</f>
        <v>0</v>
      </c>
      <c r="AJ13" s="12">
        <f ca="1">'TUSD BE'!$AJ$13*'TUSD BF'!$AJ$58</f>
        <v>0</v>
      </c>
      <c r="AK13" s="12">
        <f ca="1">'TUSD BE'!$AK$13*'TUSD BF'!$AK$58</f>
        <v>0</v>
      </c>
      <c r="AL13" s="12">
        <f ca="1">SUM($AH$13:$AK$13)</f>
        <v>0</v>
      </c>
      <c r="AM13" s="12">
        <f ca="1">SUMIF($L$4:$AL$4,"SUBTOTAL",$L$13:$AL$13)</f>
        <v>0</v>
      </c>
      <c r="AO13" s="20">
        <f ca="1">+'TUSD BE'!$T$13+'TUSD BE'!$AB$13+'TUSD BE'!$AD$13+'TUSD BE'!$AL$13</f>
        <v>1008.2486194430895</v>
      </c>
      <c r="AP13" s="20">
        <f ca="1">+'TUSD BE'!$T$13+'TUSD BE'!$AB$13+'TUSD BE'!$AD$13+'TUSD BE'!$AL$13</f>
        <v>1008.2486194430895</v>
      </c>
    </row>
    <row r="14" spans="1:42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>
        <f>'TUSD BE'!$L$14*'TUSD BF'!$L$58</f>
        <v>0</v>
      </c>
      <c r="M14" s="12">
        <f>'TUSD BE'!$M$14*'TUSD BF'!$M$58</f>
        <v>0</v>
      </c>
      <c r="N14" s="12">
        <f ca="1">'TUSD BE'!$N$14*'TUSD BF'!$N$58</f>
        <v>0</v>
      </c>
      <c r="O14" s="12">
        <f>'TUSD BE'!$O$14*'TUSD BF'!$O$58</f>
        <v>0</v>
      </c>
      <c r="P14" s="12">
        <f>'TUSD BE'!$P$14*'TUSD BF'!$P$58</f>
        <v>0</v>
      </c>
      <c r="Q14" s="12">
        <f>'TUSD BE'!$Q$14*'TUSD BF'!$Q$58</f>
        <v>0</v>
      </c>
      <c r="R14" s="12">
        <f>'TUSD BE'!$R$14*'TUSD BF'!$R$58</f>
        <v>0</v>
      </c>
      <c r="S14" s="12">
        <f>'TUSD BE'!$R$14*'TUSD BF'!$S$58</f>
        <v>0</v>
      </c>
      <c r="T14" s="12">
        <f ca="1">SUM($L$14:$S$14)</f>
        <v>0</v>
      </c>
      <c r="U14" s="12">
        <f>'TUSD BE'!$U$14*'TUSD BF'!$U$58</f>
        <v>0</v>
      </c>
      <c r="V14" s="12">
        <f>'TUSD BE'!$V$14*'TUSD BF'!$V$58</f>
        <v>0</v>
      </c>
      <c r="W14" s="12">
        <f>'TUSD BE'!$W$14*'TUSD BF'!$W$58</f>
        <v>0</v>
      </c>
      <c r="X14" s="12">
        <f>'TUSD BE'!$X$14*'TUSD BF'!$X$58</f>
        <v>0</v>
      </c>
      <c r="Y14" s="12">
        <f>'TUSD BE'!$Y$14*'TUSD BF'!$Y$58</f>
        <v>0</v>
      </c>
      <c r="Z14" s="12">
        <f>'TUSD BE'!$Z$14*'TUSD BF'!$Z$58</f>
        <v>0</v>
      </c>
      <c r="AA14" s="12">
        <f>'TUSD BE'!$AA$14*'TUSD BF'!$AA$58</f>
        <v>0</v>
      </c>
      <c r="AB14" s="12">
        <f>SUM($U$14:$AA$14)</f>
        <v>0</v>
      </c>
      <c r="AC14" s="12">
        <f>'TUSD BE'!$AC$14*'TUSD BF'!$AC$58</f>
        <v>0</v>
      </c>
      <c r="AD14" s="12">
        <f>SUM($AC$14:$AC$14)</f>
        <v>0</v>
      </c>
      <c r="AE14" s="12">
        <f ca="1">$AO$14*$AO$55</f>
        <v>0</v>
      </c>
      <c r="AF14" s="12">
        <f ca="1">$AP$14*$AP$55</f>
        <v>0</v>
      </c>
      <c r="AG14" s="12">
        <f ca="1">SUM($AE$14:$AF$14)</f>
        <v>0</v>
      </c>
      <c r="AH14" s="12">
        <f>'TUSD BE'!$AH$14*'TUSD BF'!$AH$58</f>
        <v>0</v>
      </c>
      <c r="AI14" s="12">
        <f>'TUSD BE'!$AI$14*'TUSD BF'!$AI$58</f>
        <v>0</v>
      </c>
      <c r="AJ14" s="12">
        <f ca="1">'TUSD BE'!$AJ$14*'TUSD BF'!$AJ$58</f>
        <v>0</v>
      </c>
      <c r="AK14" s="12">
        <f ca="1">'TUSD BE'!$AK$14*'TUSD BF'!$AK$58</f>
        <v>0</v>
      </c>
      <c r="AL14" s="12">
        <f ca="1">SUM($AH$14:$AK$14)</f>
        <v>0</v>
      </c>
      <c r="AM14" s="12">
        <f ca="1">SUMIF($L$4:$AL$4,"SUBTOTAL",$L$14:$AL$14)</f>
        <v>0</v>
      </c>
      <c r="AO14" s="20">
        <f ca="1">+'TUSD BE'!$T$14+'TUSD BE'!$AB$14+'TUSD BE'!$AD$14+'TUSD BE'!$AL$14</f>
        <v>7.1038591837118963</v>
      </c>
      <c r="AP14" s="20">
        <f ca="1">+'TUSD BE'!$T$14+'TUSD BE'!$AB$14+'TUSD BE'!$AD$14+'TUSD BE'!$AL$14</f>
        <v>7.1038591837118963</v>
      </c>
    </row>
    <row r="15" spans="1:42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>
        <f>'TUSD BE'!$L$15*'TUSD BF'!$L$58</f>
        <v>0</v>
      </c>
      <c r="M15" s="12">
        <f>'TUSD BE'!$M$15*'TUSD BF'!$M$58</f>
        <v>0</v>
      </c>
      <c r="N15" s="12">
        <f ca="1">'TUSD BE'!$N$15*'TUSD BF'!$N$58</f>
        <v>0</v>
      </c>
      <c r="O15" s="12">
        <f>'TUSD BE'!$O$15*'TUSD BF'!$O$58</f>
        <v>0</v>
      </c>
      <c r="P15" s="12">
        <f>'TUSD BE'!$P$15*'TUSD BF'!$P$58</f>
        <v>0</v>
      </c>
      <c r="Q15" s="12">
        <f>'TUSD BE'!$Q$15*'TUSD BF'!$Q$58</f>
        <v>0</v>
      </c>
      <c r="R15" s="12">
        <f>'TUSD BE'!$R$15*'TUSD BF'!$R$58</f>
        <v>0</v>
      </c>
      <c r="S15" s="12">
        <f>'TUSD BE'!$R$15*'TUSD BF'!$S$58</f>
        <v>0</v>
      </c>
      <c r="T15" s="12">
        <f ca="1">SUM($L$15:$S$15)</f>
        <v>0</v>
      </c>
      <c r="U15" s="12">
        <f>'TUSD BE'!$U$15*'TUSD BF'!$U$58</f>
        <v>0</v>
      </c>
      <c r="V15" s="12">
        <f>'TUSD BE'!$V$15*'TUSD BF'!$V$58</f>
        <v>0</v>
      </c>
      <c r="W15" s="12">
        <f>'TUSD BE'!$W$15*'TUSD BF'!$W$58</f>
        <v>0</v>
      </c>
      <c r="X15" s="12">
        <f>'TUSD BE'!$X$15*'TUSD BF'!$X$58</f>
        <v>0</v>
      </c>
      <c r="Y15" s="12">
        <f>'TUSD BE'!$Y$15*'TUSD BF'!$Y$58</f>
        <v>0</v>
      </c>
      <c r="Z15" s="12">
        <f>'TUSD BE'!$Z$15*'TUSD BF'!$Z$58</f>
        <v>0</v>
      </c>
      <c r="AA15" s="12">
        <f>'TUSD BE'!$AA$15*'TUSD BF'!$AA$58</f>
        <v>0</v>
      </c>
      <c r="AB15" s="12">
        <f>SUM($U$15:$AA$15)</f>
        <v>0</v>
      </c>
      <c r="AC15" s="12">
        <f>'TUSD BE'!$AC$15*'TUSD BF'!$AC$58</f>
        <v>0</v>
      </c>
      <c r="AD15" s="12">
        <f>SUM($AC$15:$AC$15)</f>
        <v>0</v>
      </c>
      <c r="AE15" s="12">
        <f ca="1">$AO$15*$AO$55</f>
        <v>0</v>
      </c>
      <c r="AF15" s="12">
        <f ca="1">$AP$15*$AP$55</f>
        <v>0</v>
      </c>
      <c r="AG15" s="12">
        <f ca="1">SUM($AE$15:$AF$15)</f>
        <v>0</v>
      </c>
      <c r="AH15" s="12">
        <f>'TUSD BE'!$AH$15*'TUSD BF'!$AH$58</f>
        <v>0</v>
      </c>
      <c r="AI15" s="12">
        <f>'TUSD BE'!$AI$15*'TUSD BF'!$AI$58</f>
        <v>0</v>
      </c>
      <c r="AJ15" s="12">
        <f ca="1">'TUSD BE'!$AJ$15*'TUSD BF'!$AJ$58</f>
        <v>0</v>
      </c>
      <c r="AK15" s="12">
        <f ca="1">'TUSD BE'!$AK$15*'TUSD BF'!$AK$58</f>
        <v>0</v>
      </c>
      <c r="AL15" s="12">
        <f ca="1">SUM($AH$15:$AK$15)</f>
        <v>0</v>
      </c>
      <c r="AM15" s="12">
        <f ca="1">SUMIF($L$4:$AL$4,"SUBTOTAL",$L$15:$AL$15)</f>
        <v>0</v>
      </c>
      <c r="AO15" s="20">
        <f ca="1">+'TUSD BE'!$T$15+'TUSD BE'!$AB$15+'TUSD BE'!$AD$15+'TUSD BE'!$AL$15</f>
        <v>2.6218900831385072</v>
      </c>
      <c r="AP15" s="20">
        <f ca="1">+'TUSD BE'!$T$15+'TUSD BE'!$AB$15+'TUSD BE'!$AD$15+'TUSD BE'!$AL$15</f>
        <v>2.6218900831385072</v>
      </c>
    </row>
    <row r="16" spans="1:42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>
        <f>'TUSD BE'!$L$16*'TUSD BF'!$L$58</f>
        <v>0</v>
      </c>
      <c r="M16" s="12">
        <f>'TUSD BE'!$M$16*'TUSD BF'!$M$58</f>
        <v>0</v>
      </c>
      <c r="N16" s="12">
        <f ca="1">'TUSD BE'!$N$16*'TUSD BF'!$N$58</f>
        <v>0</v>
      </c>
      <c r="O16" s="12">
        <f>'TUSD BE'!$O$16*'TUSD BF'!$O$58</f>
        <v>0</v>
      </c>
      <c r="P16" s="12">
        <f>'TUSD BE'!$P$16*'TUSD BF'!$P$58</f>
        <v>0</v>
      </c>
      <c r="Q16" s="12">
        <f>'TUSD BE'!$Q$16*'TUSD BF'!$Q$58</f>
        <v>0</v>
      </c>
      <c r="R16" s="12">
        <f>'TUSD BE'!$R$16*'TUSD BF'!$R$58</f>
        <v>0</v>
      </c>
      <c r="S16" s="12">
        <f>'TUSD BE'!$R$16*'TUSD BF'!$S$58</f>
        <v>0</v>
      </c>
      <c r="T16" s="12">
        <f ca="1">SUM($L$16:$S$16)</f>
        <v>0</v>
      </c>
      <c r="U16" s="12">
        <f>'TUSD BE'!$U$16*'TUSD BF'!$U$58</f>
        <v>0</v>
      </c>
      <c r="V16" s="12">
        <f>'TUSD BE'!$V$16*'TUSD BF'!$V$58</f>
        <v>0</v>
      </c>
      <c r="W16" s="12">
        <f>'TUSD BE'!$W$16*'TUSD BF'!$W$58</f>
        <v>0</v>
      </c>
      <c r="X16" s="12">
        <f>'TUSD BE'!$X$16*'TUSD BF'!$X$58</f>
        <v>0</v>
      </c>
      <c r="Y16" s="12">
        <f>'TUSD BE'!$Y$16*'TUSD BF'!$Y$58</f>
        <v>0</v>
      </c>
      <c r="Z16" s="12">
        <f>'TUSD BE'!$Z$16*'TUSD BF'!$Z$58</f>
        <v>0</v>
      </c>
      <c r="AA16" s="12">
        <f>'TUSD BE'!$AA$16*'TUSD BF'!$AA$58</f>
        <v>0</v>
      </c>
      <c r="AB16" s="12">
        <f>SUM($U$16:$AA$16)</f>
        <v>0</v>
      </c>
      <c r="AC16" s="12">
        <f>'TUSD BE'!$AC$16*'TUSD BF'!$AC$58</f>
        <v>0</v>
      </c>
      <c r="AD16" s="12">
        <f>SUM($AC$16:$AC$16)</f>
        <v>0</v>
      </c>
      <c r="AE16" s="12">
        <f ca="1">$AO$16*$AO$55</f>
        <v>0</v>
      </c>
      <c r="AF16" s="12">
        <f ca="1">$AP$16*$AP$55</f>
        <v>0</v>
      </c>
      <c r="AG16" s="12">
        <f ca="1">SUM($AE$16:$AF$16)</f>
        <v>0</v>
      </c>
      <c r="AH16" s="12">
        <f>'TUSD BE'!$AH$16*'TUSD BF'!$AH$58</f>
        <v>0</v>
      </c>
      <c r="AI16" s="12">
        <f>'TUSD BE'!$AI$16*'TUSD BF'!$AI$58</f>
        <v>0</v>
      </c>
      <c r="AJ16" s="12">
        <f ca="1">'TUSD BE'!$AJ$16*'TUSD BF'!$AJ$58</f>
        <v>0</v>
      </c>
      <c r="AK16" s="12">
        <f ca="1">'TUSD BE'!$AK$16*'TUSD BF'!$AK$58</f>
        <v>0</v>
      </c>
      <c r="AL16" s="12">
        <f ca="1">SUM($AH$16:$AK$16)</f>
        <v>0</v>
      </c>
      <c r="AM16" s="12">
        <f ca="1">SUMIF($L$4:$AL$4,"SUBTOTAL",$L$16:$AL$16)</f>
        <v>0</v>
      </c>
      <c r="AO16" s="20">
        <f ca="1">+'TUSD BE'!$T$16+'TUSD BE'!$AB$16+'TUSD BE'!$AD$16+'TUSD BE'!$AL$16</f>
        <v>7.7907482262664498</v>
      </c>
      <c r="AP16" s="20">
        <f ca="1">+'TUSD BE'!$T$16+'TUSD BE'!$AB$16+'TUSD BE'!$AD$16+'TUSD BE'!$AL$16</f>
        <v>7.7907482262664498</v>
      </c>
    </row>
    <row r="17" spans="1:42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>
        <f>'TUSD BE'!$L$17*'TUSD BF'!$L$58</f>
        <v>0</v>
      </c>
      <c r="M17" s="12">
        <f>'TUSD BE'!$M$17*'TUSD BF'!$M$58</f>
        <v>0</v>
      </c>
      <c r="N17" s="12">
        <f ca="1">'TUSD BE'!$N$17*'TUSD BF'!$N$58</f>
        <v>0</v>
      </c>
      <c r="O17" s="12">
        <f>'TUSD BE'!$O$17*'TUSD BF'!$O$58</f>
        <v>0</v>
      </c>
      <c r="P17" s="12">
        <f>'TUSD BE'!$P$17*'TUSD BF'!$P$58</f>
        <v>0</v>
      </c>
      <c r="Q17" s="12">
        <f>'TUSD BE'!$Q$17*'TUSD BF'!$Q$58</f>
        <v>0</v>
      </c>
      <c r="R17" s="12">
        <f>'TUSD BE'!$R$17*'TUSD BF'!$R$58</f>
        <v>0</v>
      </c>
      <c r="S17" s="12">
        <f>'TUSD BE'!$R$17*'TUSD BF'!$S$58</f>
        <v>0</v>
      </c>
      <c r="T17" s="12">
        <f ca="1">SUM($L$17:$S$17)</f>
        <v>0</v>
      </c>
      <c r="U17" s="12">
        <f>'TUSD BE'!$U$17*'TUSD BF'!$U$58</f>
        <v>0</v>
      </c>
      <c r="V17" s="12">
        <f>'TUSD BE'!$V$17*'TUSD BF'!$V$58</f>
        <v>0</v>
      </c>
      <c r="W17" s="12">
        <f>'TUSD BE'!$W$17*'TUSD BF'!$W$58</f>
        <v>0</v>
      </c>
      <c r="X17" s="12">
        <f>'TUSD BE'!$X$17*'TUSD BF'!$X$58</f>
        <v>0</v>
      </c>
      <c r="Y17" s="12">
        <f>'TUSD BE'!$Y$17*'TUSD BF'!$Y$58</f>
        <v>0</v>
      </c>
      <c r="Z17" s="12">
        <f>'TUSD BE'!$Z$17*'TUSD BF'!$Z$58</f>
        <v>0</v>
      </c>
      <c r="AA17" s="12">
        <f>'TUSD BE'!$AA$17*'TUSD BF'!$AA$58</f>
        <v>0</v>
      </c>
      <c r="AB17" s="12">
        <f>SUM($U$17:$AA$17)</f>
        <v>0</v>
      </c>
      <c r="AC17" s="12">
        <f>'TUSD BE'!$AC$17*'TUSD BF'!$AC$58</f>
        <v>0</v>
      </c>
      <c r="AD17" s="12">
        <f>SUM($AC$17:$AC$17)</f>
        <v>0</v>
      </c>
      <c r="AE17" s="12">
        <f ca="1">$AO$17*$AO$55</f>
        <v>0</v>
      </c>
      <c r="AF17" s="12">
        <f ca="1">$AP$17*$AP$55</f>
        <v>0</v>
      </c>
      <c r="AG17" s="12">
        <f ca="1">SUM($AE$17:$AF$17)</f>
        <v>0</v>
      </c>
      <c r="AH17" s="12">
        <f>'TUSD BE'!$AH$17*'TUSD BF'!$AH$58</f>
        <v>0</v>
      </c>
      <c r="AI17" s="12">
        <f>'TUSD BE'!$AI$17*'TUSD BF'!$AI$58</f>
        <v>0</v>
      </c>
      <c r="AJ17" s="12">
        <f ca="1">'TUSD BE'!$AJ$17*'TUSD BF'!$AJ$58</f>
        <v>0</v>
      </c>
      <c r="AK17" s="12">
        <f ca="1">'TUSD BE'!$AK$17*'TUSD BF'!$AK$58</f>
        <v>0</v>
      </c>
      <c r="AL17" s="12">
        <f ca="1">SUM($AH$17:$AK$17)</f>
        <v>0</v>
      </c>
      <c r="AM17" s="12">
        <f ca="1">SUMIF($L$4:$AL$4,"SUBTOTAL",$L$17:$AL$17)</f>
        <v>0</v>
      </c>
      <c r="AO17" s="20">
        <f ca="1">+'TUSD BE'!$T$17+'TUSD BE'!$AB$17+'TUSD BE'!$AD$17+'TUSD BE'!$AL$17</f>
        <v>573.25434528911228</v>
      </c>
      <c r="AP17" s="20">
        <f ca="1">+'TUSD BE'!$T$17+'TUSD BE'!$AB$17+'TUSD BE'!$AD$17+'TUSD BE'!$AL$17</f>
        <v>573.25434528911228</v>
      </c>
    </row>
    <row r="18" spans="1:42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>
        <f>'TUSD BE'!$L$18*'TUSD BF'!$L$58</f>
        <v>0</v>
      </c>
      <c r="M18" s="12">
        <f>'TUSD BE'!$M$18*'TUSD BF'!$M$58</f>
        <v>0</v>
      </c>
      <c r="N18" s="12">
        <f ca="1">'TUSD BE'!$N$18*'TUSD BF'!$N$58</f>
        <v>0</v>
      </c>
      <c r="O18" s="12">
        <f>'TUSD BE'!$O$18*'TUSD BF'!$O$58</f>
        <v>0</v>
      </c>
      <c r="P18" s="12">
        <f>'TUSD BE'!$P$18*'TUSD BF'!$P$58</f>
        <v>0</v>
      </c>
      <c r="Q18" s="12">
        <f>'TUSD BE'!$Q$18*'TUSD BF'!$Q$58</f>
        <v>0</v>
      </c>
      <c r="R18" s="12">
        <f>'TUSD BE'!$R$18*'TUSD BF'!$R$58</f>
        <v>0</v>
      </c>
      <c r="S18" s="12">
        <f>'TUSD BE'!$R$18*'TUSD BF'!$S$58</f>
        <v>0</v>
      </c>
      <c r="T18" s="12">
        <f ca="1">SUM($L$18:$S$18)</f>
        <v>0</v>
      </c>
      <c r="U18" s="12">
        <f>'TUSD BE'!$U$18*'TUSD BF'!$U$58</f>
        <v>0</v>
      </c>
      <c r="V18" s="12">
        <f>'TUSD BE'!$V$18*'TUSD BF'!$V$58</f>
        <v>0</v>
      </c>
      <c r="W18" s="12">
        <f>'TUSD BE'!$W$18*'TUSD BF'!$W$58</f>
        <v>0</v>
      </c>
      <c r="X18" s="12">
        <f>'TUSD BE'!$X$18*'TUSD BF'!$X$58</f>
        <v>0</v>
      </c>
      <c r="Y18" s="12">
        <f>'TUSD BE'!$Y$18*'TUSD BF'!$Y$58</f>
        <v>0</v>
      </c>
      <c r="Z18" s="12">
        <f>'TUSD BE'!$Z$18*'TUSD BF'!$Z$58</f>
        <v>0</v>
      </c>
      <c r="AA18" s="12">
        <f>'TUSD BE'!$AA$18*'TUSD BF'!$AA$58</f>
        <v>0</v>
      </c>
      <c r="AB18" s="12">
        <f>SUM($U$18:$AA$18)</f>
        <v>0</v>
      </c>
      <c r="AC18" s="12">
        <f>'TUSD BE'!$AC$18*'TUSD BF'!$AC$58</f>
        <v>0</v>
      </c>
      <c r="AD18" s="12">
        <f>SUM($AC$18:$AC$18)</f>
        <v>0</v>
      </c>
      <c r="AE18" s="12">
        <f ca="1">$AO$18*$AO$55</f>
        <v>0</v>
      </c>
      <c r="AF18" s="12">
        <f ca="1">$AP$18*$AP$55</f>
        <v>0</v>
      </c>
      <c r="AG18" s="12">
        <f ca="1">SUM($AE$18:$AF$18)</f>
        <v>0</v>
      </c>
      <c r="AH18" s="12">
        <f>'TUSD BE'!$AH$18*'TUSD BF'!$AH$58</f>
        <v>0</v>
      </c>
      <c r="AI18" s="12">
        <f>'TUSD BE'!$AI$18*'TUSD BF'!$AI$58</f>
        <v>0</v>
      </c>
      <c r="AJ18" s="12">
        <f ca="1">'TUSD BE'!$AJ$18*'TUSD BF'!$AJ$58</f>
        <v>0</v>
      </c>
      <c r="AK18" s="12">
        <f ca="1">'TUSD BE'!$AK$18*'TUSD BF'!$AK$58</f>
        <v>0</v>
      </c>
      <c r="AL18" s="12">
        <f ca="1">SUM($AH$18:$AK$18)</f>
        <v>0</v>
      </c>
      <c r="AM18" s="12">
        <f ca="1">SUMIF($L$4:$AL$4,"SUBTOTAL",$L$18:$AL$18)</f>
        <v>0</v>
      </c>
      <c r="AO18" s="20">
        <f ca="1">+'TUSD BE'!$T$18+'TUSD BE'!$AB$18+'TUSD BE'!$AD$18+'TUSD BE'!$AL$18</f>
        <v>391.18492513237675</v>
      </c>
      <c r="AP18" s="20">
        <f ca="1">+'TUSD BE'!$T$18+'TUSD BE'!$AB$18+'TUSD BE'!$AD$18+'TUSD BE'!$AL$18</f>
        <v>391.18492513237675</v>
      </c>
    </row>
    <row r="19" spans="1:42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>
        <f>'TUSD BE'!$L$19*'TUSD BF'!$L$58</f>
        <v>0</v>
      </c>
      <c r="M19" s="12">
        <f>'TUSD BE'!$M$19*'TUSD BF'!$M$58</f>
        <v>0</v>
      </c>
      <c r="N19" s="12">
        <f ca="1">'TUSD BE'!$N$19*'TUSD BF'!$N$58</f>
        <v>0</v>
      </c>
      <c r="O19" s="12">
        <f>'TUSD BE'!$O$19*'TUSD BF'!$O$58</f>
        <v>0</v>
      </c>
      <c r="P19" s="12">
        <f>'TUSD BE'!$P$19*'TUSD BF'!$P$58</f>
        <v>0</v>
      </c>
      <c r="Q19" s="12">
        <f>'TUSD BE'!$Q$19*'TUSD BF'!$Q$58</f>
        <v>0</v>
      </c>
      <c r="R19" s="12">
        <f>'TUSD BE'!$R$19*'TUSD BF'!$R$58</f>
        <v>0</v>
      </c>
      <c r="S19" s="12">
        <f>'TUSD BE'!$R$19*'TUSD BF'!$S$58</f>
        <v>0</v>
      </c>
      <c r="T19" s="12">
        <f ca="1">SUM($L$19:$S$19)</f>
        <v>0</v>
      </c>
      <c r="U19" s="12">
        <f>'TUSD BE'!$U$19*'TUSD BF'!$U$58</f>
        <v>0</v>
      </c>
      <c r="V19" s="12">
        <f>'TUSD BE'!$V$19*'TUSD BF'!$V$58</f>
        <v>0</v>
      </c>
      <c r="W19" s="12">
        <f>'TUSD BE'!$W$19*'TUSD BF'!$W$58</f>
        <v>0</v>
      </c>
      <c r="X19" s="12">
        <f>'TUSD BE'!$X$19*'TUSD BF'!$X$58</f>
        <v>0</v>
      </c>
      <c r="Y19" s="12">
        <f>'TUSD BE'!$Y$19*'TUSD BF'!$Y$58</f>
        <v>0</v>
      </c>
      <c r="Z19" s="12">
        <f>'TUSD BE'!$Z$19*'TUSD BF'!$Z$58</f>
        <v>0</v>
      </c>
      <c r="AA19" s="12">
        <f>'TUSD BE'!$AA$19*'TUSD BF'!$AA$58</f>
        <v>0</v>
      </c>
      <c r="AB19" s="12">
        <f>SUM($U$19:$AA$19)</f>
        <v>0</v>
      </c>
      <c r="AC19" s="12">
        <f>'TUSD BE'!$AC$19*'TUSD BF'!$AC$58</f>
        <v>0</v>
      </c>
      <c r="AD19" s="12">
        <f>SUM($AC$19:$AC$19)</f>
        <v>0</v>
      </c>
      <c r="AE19" s="12">
        <f ca="1">$AO$19*$AO$55</f>
        <v>0</v>
      </c>
      <c r="AF19" s="12">
        <f ca="1">$AP$19*$AP$55</f>
        <v>0</v>
      </c>
      <c r="AG19" s="12">
        <f ca="1">SUM($AE$19:$AF$19)</f>
        <v>0</v>
      </c>
      <c r="AH19" s="12">
        <f>'TUSD BE'!$AH$19*'TUSD BF'!$AH$58</f>
        <v>0</v>
      </c>
      <c r="AI19" s="12">
        <f>'TUSD BE'!$AI$19*'TUSD BF'!$AI$58</f>
        <v>0</v>
      </c>
      <c r="AJ19" s="12">
        <f ca="1">'TUSD BE'!$AJ$19*'TUSD BF'!$AJ$58</f>
        <v>0</v>
      </c>
      <c r="AK19" s="12">
        <f ca="1">'TUSD BE'!$AK$19*'TUSD BF'!$AK$58</f>
        <v>0</v>
      </c>
      <c r="AL19" s="12">
        <f ca="1">SUM($AH$19:$AK$19)</f>
        <v>0</v>
      </c>
      <c r="AM19" s="12">
        <f ca="1">SUMIF($L$4:$AL$4,"SUBTOTAL",$L$19:$AL$19)</f>
        <v>0</v>
      </c>
      <c r="AO19" s="20">
        <f ca="1">+'TUSD BE'!$T$19+'TUSD BE'!$AB$19+'TUSD BE'!$AD$19+'TUSD BE'!$AL$19</f>
        <v>209.09977421398182</v>
      </c>
      <c r="AP19" s="20">
        <f ca="1">+'TUSD BE'!$T$19+'TUSD BE'!$AB$19+'TUSD BE'!$AD$19+'TUSD BE'!$AL$19</f>
        <v>209.09977421398182</v>
      </c>
    </row>
    <row r="20" spans="1:42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>
        <f>'TUSD BE'!$L$20*'TUSD BF'!$L$58</f>
        <v>0</v>
      </c>
      <c r="M20" s="12">
        <f>'TUSD BE'!$M$20*'TUSD BF'!$M$58</f>
        <v>0</v>
      </c>
      <c r="N20" s="12">
        <f ca="1">'TUSD BE'!$N$20*'TUSD BF'!$N$58</f>
        <v>0</v>
      </c>
      <c r="O20" s="12">
        <f>'TUSD BE'!$O$20*'TUSD BF'!$O$58</f>
        <v>0</v>
      </c>
      <c r="P20" s="12">
        <f>'TUSD BE'!$P$20*'TUSD BF'!$P$58</f>
        <v>0</v>
      </c>
      <c r="Q20" s="12">
        <f>'TUSD BE'!$Q$20*'TUSD BF'!$Q$58</f>
        <v>0</v>
      </c>
      <c r="R20" s="12">
        <f>'TUSD BE'!$R$20*'TUSD BF'!$R$58</f>
        <v>0</v>
      </c>
      <c r="S20" s="12">
        <f>'TUSD BE'!$R$20*'TUSD BF'!$S$58</f>
        <v>0</v>
      </c>
      <c r="T20" s="12">
        <f ca="1">SUM($L$20:$S$20)</f>
        <v>0</v>
      </c>
      <c r="U20" s="12">
        <f>'TUSD BE'!$U$20*'TUSD BF'!$U$58</f>
        <v>0</v>
      </c>
      <c r="V20" s="12">
        <f>'TUSD BE'!$V$20*'TUSD BF'!$V$58</f>
        <v>0</v>
      </c>
      <c r="W20" s="12">
        <f>'TUSD BE'!$W$20*'TUSD BF'!$W$58</f>
        <v>0</v>
      </c>
      <c r="X20" s="12">
        <f>'TUSD BE'!$X$20*'TUSD BF'!$X$58</f>
        <v>0</v>
      </c>
      <c r="Y20" s="12">
        <f>'TUSD BE'!$Y$20*'TUSD BF'!$Y$58</f>
        <v>0</v>
      </c>
      <c r="Z20" s="12">
        <f>'TUSD BE'!$Z$20*'TUSD BF'!$Z$58</f>
        <v>0</v>
      </c>
      <c r="AA20" s="12">
        <f>'TUSD BE'!$AA$20*'TUSD BF'!$AA$58</f>
        <v>0</v>
      </c>
      <c r="AB20" s="12">
        <f>SUM($U$20:$AA$20)</f>
        <v>0</v>
      </c>
      <c r="AC20" s="12">
        <f>'TUSD BE'!$AC$20*'TUSD BF'!$AC$58</f>
        <v>0</v>
      </c>
      <c r="AD20" s="12">
        <f>SUM($AC$20:$AC$20)</f>
        <v>0</v>
      </c>
      <c r="AE20" s="12">
        <f ca="1">$AO$20*$AO$55</f>
        <v>0</v>
      </c>
      <c r="AF20" s="12">
        <f ca="1">$AP$20*$AP$55</f>
        <v>0</v>
      </c>
      <c r="AG20" s="12">
        <f ca="1">SUM($AE$20:$AF$20)</f>
        <v>0</v>
      </c>
      <c r="AH20" s="12">
        <f>'TUSD BE'!$AH$20*'TUSD BF'!$AH$58</f>
        <v>0</v>
      </c>
      <c r="AI20" s="12">
        <f>'TUSD BE'!$AI$20*'TUSD BF'!$AI$58</f>
        <v>0</v>
      </c>
      <c r="AJ20" s="12">
        <f ca="1">'TUSD BE'!$AJ$20*'TUSD BF'!$AJ$58</f>
        <v>0</v>
      </c>
      <c r="AK20" s="12">
        <f ca="1">'TUSD BE'!$AK$20*'TUSD BF'!$AK$58</f>
        <v>0</v>
      </c>
      <c r="AL20" s="12">
        <f ca="1">SUM($AH$20:$AK$20)</f>
        <v>0</v>
      </c>
      <c r="AM20" s="12">
        <f ca="1">SUMIF($L$4:$AL$4,"SUBTOTAL",$L$20:$AL$20)</f>
        <v>0</v>
      </c>
      <c r="AO20" s="20">
        <f ca="1">+'TUSD BE'!$T$20+'TUSD BE'!$AB$20+'TUSD BE'!$AD$20+'TUSD BE'!$AL$20</f>
        <v>286.65487068141226</v>
      </c>
      <c r="AP20" s="20">
        <f ca="1">+'TUSD BE'!$T$20+'TUSD BE'!$AB$20+'TUSD BE'!$AD$20+'TUSD BE'!$AL$20</f>
        <v>286.65487068141226</v>
      </c>
    </row>
    <row r="21" spans="1:42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>
        <f>'TUSD BE'!$L$21*'TUSD BF'!$L$58</f>
        <v>0</v>
      </c>
      <c r="M21" s="12">
        <f>'TUSD BE'!$M$21*'TUSD BF'!$M$58</f>
        <v>0</v>
      </c>
      <c r="N21" s="12">
        <f ca="1">'TUSD BE'!$N$21*'TUSD BF'!$N$58</f>
        <v>0</v>
      </c>
      <c r="O21" s="12">
        <f>'TUSD BE'!$O$21*'TUSD BF'!$O$58</f>
        <v>0</v>
      </c>
      <c r="P21" s="12">
        <f>'TUSD BE'!$P$21*'TUSD BF'!$P$58</f>
        <v>0</v>
      </c>
      <c r="Q21" s="12">
        <f>'TUSD BE'!$Q$21*'TUSD BF'!$Q$58</f>
        <v>0</v>
      </c>
      <c r="R21" s="12">
        <f>'TUSD BE'!$R$21*'TUSD BF'!$R$58</f>
        <v>0</v>
      </c>
      <c r="S21" s="12">
        <f>'TUSD BE'!$R$21*'TUSD BF'!$S$58</f>
        <v>0</v>
      </c>
      <c r="T21" s="12">
        <f ca="1">SUM($L$21:$S$21)</f>
        <v>0</v>
      </c>
      <c r="U21" s="12">
        <f>'TUSD BE'!$U$21*'TUSD BF'!$U$58</f>
        <v>0</v>
      </c>
      <c r="V21" s="12">
        <f>'TUSD BE'!$V$21*'TUSD BF'!$V$58</f>
        <v>0</v>
      </c>
      <c r="W21" s="12">
        <f>'TUSD BE'!$W$21*'TUSD BF'!$W$58</f>
        <v>0</v>
      </c>
      <c r="X21" s="12">
        <f>'TUSD BE'!$X$21*'TUSD BF'!$X$58</f>
        <v>0</v>
      </c>
      <c r="Y21" s="12">
        <f>'TUSD BE'!$Y$21*'TUSD BF'!$Y$58</f>
        <v>0</v>
      </c>
      <c r="Z21" s="12">
        <f>'TUSD BE'!$Z$21*'TUSD BF'!$Z$58</f>
        <v>0</v>
      </c>
      <c r="AA21" s="12">
        <f>'TUSD BE'!$AA$21*'TUSD BF'!$AA$58</f>
        <v>0</v>
      </c>
      <c r="AB21" s="12">
        <f>SUM($U$21:$AA$21)</f>
        <v>0</v>
      </c>
      <c r="AC21" s="12">
        <f>'TUSD BE'!$AC$21*'TUSD BF'!$AC$58</f>
        <v>0</v>
      </c>
      <c r="AD21" s="12">
        <f>SUM($AC$21:$AC$21)</f>
        <v>0</v>
      </c>
      <c r="AE21" s="12">
        <f ca="1">$AO$21*$AO$55</f>
        <v>0</v>
      </c>
      <c r="AF21" s="12">
        <f ca="1">$AP$21*$AP$55</f>
        <v>0</v>
      </c>
      <c r="AG21" s="12">
        <f ca="1">SUM($AE$21:$AF$21)</f>
        <v>0</v>
      </c>
      <c r="AH21" s="12">
        <f>'TUSD BE'!$AH$21*'TUSD BF'!$AH$58</f>
        <v>0</v>
      </c>
      <c r="AI21" s="12">
        <f>'TUSD BE'!$AI$21*'TUSD BF'!$AI$58</f>
        <v>0</v>
      </c>
      <c r="AJ21" s="12">
        <f ca="1">'TUSD BE'!$AJ$21*'TUSD BF'!$AJ$58</f>
        <v>0</v>
      </c>
      <c r="AK21" s="12">
        <f ca="1">'TUSD BE'!$AK$21*'TUSD BF'!$AK$58</f>
        <v>0</v>
      </c>
      <c r="AL21" s="12">
        <f ca="1">SUM($AH$21:$AK$21)</f>
        <v>0</v>
      </c>
      <c r="AM21" s="12">
        <f ca="1">SUMIF($L$4:$AL$4,"SUBTOTAL",$L$21:$AL$21)</f>
        <v>0</v>
      </c>
      <c r="AO21" s="20">
        <f ca="1">+'TUSD BE'!$T$21+'TUSD BE'!$AB$21+'TUSD BE'!$AD$21+'TUSD BE'!$AL$21</f>
        <v>182.7086749656597</v>
      </c>
      <c r="AP21" s="20">
        <f ca="1">+'TUSD BE'!$T$21+'TUSD BE'!$AB$21+'TUSD BE'!$AD$21+'TUSD BE'!$AL$21</f>
        <v>182.7086749656597</v>
      </c>
    </row>
    <row r="22" spans="1:42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>
        <f>'TUSD BE'!$L$22*'TUSD BF'!$L$58</f>
        <v>0</v>
      </c>
      <c r="M22" s="12">
        <f>'TUSD BE'!$M$22*'TUSD BF'!$M$58</f>
        <v>0</v>
      </c>
      <c r="N22" s="12">
        <f ca="1">'TUSD BE'!$N$22*'TUSD BF'!$N$58</f>
        <v>0</v>
      </c>
      <c r="O22" s="12">
        <f>'TUSD BE'!$O$22*'TUSD BF'!$O$58</f>
        <v>0</v>
      </c>
      <c r="P22" s="12">
        <f>'TUSD BE'!$P$22*'TUSD BF'!$P$58</f>
        <v>0</v>
      </c>
      <c r="Q22" s="12">
        <f>'TUSD BE'!$Q$22*'TUSD BF'!$Q$58</f>
        <v>0</v>
      </c>
      <c r="R22" s="12">
        <f>'TUSD BE'!$R$22*'TUSD BF'!$R$58</f>
        <v>0</v>
      </c>
      <c r="S22" s="12">
        <f>'TUSD BE'!$R$22*'TUSD BF'!$S$58</f>
        <v>0</v>
      </c>
      <c r="T22" s="12">
        <f ca="1">SUM($L$22:$S$22)</f>
        <v>0</v>
      </c>
      <c r="U22" s="12">
        <f>'TUSD BE'!$U$22*'TUSD BF'!$U$58</f>
        <v>0</v>
      </c>
      <c r="V22" s="12">
        <f>'TUSD BE'!$V$22*'TUSD BF'!$V$58</f>
        <v>0</v>
      </c>
      <c r="W22" s="12">
        <f>'TUSD BE'!$W$22*'TUSD BF'!$W$58</f>
        <v>0</v>
      </c>
      <c r="X22" s="12">
        <f>'TUSD BE'!$X$22*'TUSD BF'!$X$58</f>
        <v>0</v>
      </c>
      <c r="Y22" s="12">
        <f>'TUSD BE'!$Y$22*'TUSD BF'!$Y$58</f>
        <v>0</v>
      </c>
      <c r="Z22" s="12">
        <f>'TUSD BE'!$Z$22*'TUSD BF'!$Z$58</f>
        <v>0</v>
      </c>
      <c r="AA22" s="12">
        <f>'TUSD BE'!$AA$22*'TUSD BF'!$AA$58</f>
        <v>0</v>
      </c>
      <c r="AB22" s="12">
        <f>SUM($U$22:$AA$22)</f>
        <v>0</v>
      </c>
      <c r="AC22" s="12">
        <f>'TUSD BE'!$AC$22*'TUSD BF'!$AC$58</f>
        <v>0</v>
      </c>
      <c r="AD22" s="12">
        <f>SUM($AC$22:$AC$22)</f>
        <v>0</v>
      </c>
      <c r="AE22" s="12">
        <f ca="1">$AO$22*$AO$55</f>
        <v>0</v>
      </c>
      <c r="AF22" s="12">
        <f ca="1">$AP$22*$AP$55</f>
        <v>0</v>
      </c>
      <c r="AG22" s="12">
        <f ca="1">SUM($AE$22:$AF$22)</f>
        <v>0</v>
      </c>
      <c r="AH22" s="12">
        <f>'TUSD BE'!$AH$22*'TUSD BF'!$AH$58</f>
        <v>0</v>
      </c>
      <c r="AI22" s="12">
        <f>'TUSD BE'!$AI$22*'TUSD BF'!$AI$58</f>
        <v>0</v>
      </c>
      <c r="AJ22" s="12">
        <f ca="1">'TUSD BE'!$AJ$22*'TUSD BF'!$AJ$58</f>
        <v>0</v>
      </c>
      <c r="AK22" s="12">
        <f ca="1">'TUSD BE'!$AK$22*'TUSD BF'!$AK$58</f>
        <v>0</v>
      </c>
      <c r="AL22" s="12">
        <f ca="1">SUM($AH$22:$AK$22)</f>
        <v>0</v>
      </c>
      <c r="AM22" s="12">
        <f ca="1">SUMIF($L$4:$AL$4,"SUBTOTAL",$L$22:$AL$22)</f>
        <v>0</v>
      </c>
      <c r="AO22" s="20">
        <f ca="1">+'TUSD BE'!$T$22+'TUSD BE'!$AB$22+'TUSD BE'!$AD$22+'TUSD BE'!$AL$22</f>
        <v>182.7086749656597</v>
      </c>
      <c r="AP22" s="20">
        <f ca="1">+'TUSD BE'!$T$22+'TUSD BE'!$AB$22+'TUSD BE'!$AD$22+'TUSD BE'!$AL$22</f>
        <v>182.7086749656597</v>
      </c>
    </row>
    <row r="23" spans="1:42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>
        <f>'TUSD BE'!$L$23*'TUSD BF'!$L$58</f>
        <v>0</v>
      </c>
      <c r="M23" s="12">
        <f>'TUSD BE'!$M$23*'TUSD BF'!$M$58</f>
        <v>0</v>
      </c>
      <c r="N23" s="12">
        <f ca="1">'TUSD BE'!$N$23*'TUSD BF'!$N$58</f>
        <v>0</v>
      </c>
      <c r="O23" s="12">
        <f>'TUSD BE'!$O$23*'TUSD BF'!$O$58</f>
        <v>0</v>
      </c>
      <c r="P23" s="12">
        <f>'TUSD BE'!$P$23*'TUSD BF'!$P$58</f>
        <v>0</v>
      </c>
      <c r="Q23" s="12">
        <f>'TUSD BE'!$Q$23*'TUSD BF'!$Q$58</f>
        <v>0</v>
      </c>
      <c r="R23" s="12">
        <f>'TUSD BE'!$R$23*'TUSD BF'!$R$58</f>
        <v>0</v>
      </c>
      <c r="S23" s="12">
        <f>'TUSD BE'!$R$23*'TUSD BF'!$S$58</f>
        <v>0</v>
      </c>
      <c r="T23" s="12">
        <f ca="1">SUM($L$23:$S$23)</f>
        <v>0</v>
      </c>
      <c r="U23" s="12">
        <f>'TUSD BE'!$U$23*'TUSD BF'!$U$58</f>
        <v>0</v>
      </c>
      <c r="V23" s="12">
        <f>'TUSD BE'!$V$23*'TUSD BF'!$V$58</f>
        <v>0</v>
      </c>
      <c r="W23" s="12">
        <f>'TUSD BE'!$W$23*'TUSD BF'!$W$58</f>
        <v>0</v>
      </c>
      <c r="X23" s="12">
        <f>'TUSD BE'!$X$23*'TUSD BF'!$X$58</f>
        <v>0</v>
      </c>
      <c r="Y23" s="12">
        <f>'TUSD BE'!$Y$23*'TUSD BF'!$Y$58</f>
        <v>0</v>
      </c>
      <c r="Z23" s="12">
        <f>'TUSD BE'!$Z$23*'TUSD BF'!$Z$58</f>
        <v>0</v>
      </c>
      <c r="AA23" s="12">
        <f>'TUSD BE'!$AA$23*'TUSD BF'!$AA$58</f>
        <v>0</v>
      </c>
      <c r="AB23" s="12">
        <f>SUM($U$23:$AA$23)</f>
        <v>0</v>
      </c>
      <c r="AC23" s="12">
        <f>'TUSD BE'!$AC$23*'TUSD BF'!$AC$58</f>
        <v>0</v>
      </c>
      <c r="AD23" s="12">
        <f>SUM($AC$23:$AC$23)</f>
        <v>0</v>
      </c>
      <c r="AE23" s="12">
        <f ca="1">$AO$23*$AO$55</f>
        <v>0</v>
      </c>
      <c r="AF23" s="12">
        <f ca="1">$AP$23*$AP$55</f>
        <v>0</v>
      </c>
      <c r="AG23" s="12">
        <f ca="1">SUM($AE$23:$AF$23)</f>
        <v>0</v>
      </c>
      <c r="AH23" s="12">
        <f>'TUSD BE'!$AH$23*'TUSD BF'!$AH$58</f>
        <v>0</v>
      </c>
      <c r="AI23" s="12">
        <f>'TUSD BE'!$AI$23*'TUSD BF'!$AI$58</f>
        <v>0</v>
      </c>
      <c r="AJ23" s="12">
        <f ca="1">'TUSD BE'!$AJ$23*'TUSD BF'!$AJ$58</f>
        <v>0</v>
      </c>
      <c r="AK23" s="12">
        <f ca="1">'TUSD BE'!$AK$23*'TUSD BF'!$AK$58</f>
        <v>0</v>
      </c>
      <c r="AL23" s="12">
        <f ca="1">SUM($AH$23:$AK$23)</f>
        <v>0</v>
      </c>
      <c r="AM23" s="12">
        <f ca="1">SUMIF($L$4:$AL$4,"SUBTOTAL",$L$23:$AL$23)</f>
        <v>0</v>
      </c>
      <c r="AO23" s="20">
        <f ca="1">+'TUSD BE'!$T$23+'TUSD BE'!$AB$23+'TUSD BE'!$AD$23+'TUSD BE'!$AL$23</f>
        <v>182.7086749656597</v>
      </c>
      <c r="AP23" s="20">
        <f ca="1">+'TUSD BE'!$T$23+'TUSD BE'!$AB$23+'TUSD BE'!$AD$23+'TUSD BE'!$AL$23</f>
        <v>182.7086749656597</v>
      </c>
    </row>
    <row r="24" spans="1:42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>
        <f>'TUSD BE'!$L$24*'TUSD BF'!$L$58</f>
        <v>0</v>
      </c>
      <c r="M24" s="12">
        <f>'TUSD BE'!$M$24*'TUSD BF'!$M$58</f>
        <v>0</v>
      </c>
      <c r="N24" s="12">
        <f ca="1">'TUSD BE'!$N$24*'TUSD BF'!$N$58</f>
        <v>0</v>
      </c>
      <c r="O24" s="12">
        <f>'TUSD BE'!$O$24*'TUSD BF'!$O$58</f>
        <v>0</v>
      </c>
      <c r="P24" s="12">
        <f>'TUSD BE'!$P$24*'TUSD BF'!$P$58</f>
        <v>0</v>
      </c>
      <c r="Q24" s="12">
        <f>'TUSD BE'!$Q$24*'TUSD BF'!$Q$58</f>
        <v>0</v>
      </c>
      <c r="R24" s="12">
        <f>'TUSD BE'!$R$24*'TUSD BF'!$R$58</f>
        <v>0</v>
      </c>
      <c r="S24" s="12">
        <f>'TUSD BE'!$R$24*'TUSD BF'!$S$58</f>
        <v>0</v>
      </c>
      <c r="T24" s="12">
        <f ca="1">SUM($L$24:$S$24)</f>
        <v>0</v>
      </c>
      <c r="U24" s="12">
        <f>'TUSD BE'!$U$24*'TUSD BF'!$U$58</f>
        <v>0</v>
      </c>
      <c r="V24" s="12">
        <f>'TUSD BE'!$V$24*'TUSD BF'!$V$58</f>
        <v>0</v>
      </c>
      <c r="W24" s="12">
        <f>'TUSD BE'!$W$24*'TUSD BF'!$W$58</f>
        <v>0</v>
      </c>
      <c r="X24" s="12">
        <f>'TUSD BE'!$X$24*'TUSD BF'!$X$58</f>
        <v>0</v>
      </c>
      <c r="Y24" s="12">
        <f>'TUSD BE'!$Y$24*'TUSD BF'!$Y$58</f>
        <v>0</v>
      </c>
      <c r="Z24" s="12">
        <f>'TUSD BE'!$Z$24*'TUSD BF'!$Z$58</f>
        <v>0</v>
      </c>
      <c r="AA24" s="12">
        <f>'TUSD BE'!$AA$24*'TUSD BF'!$AA$58</f>
        <v>0</v>
      </c>
      <c r="AB24" s="12">
        <f>SUM($U$24:$AA$24)</f>
        <v>0</v>
      </c>
      <c r="AC24" s="12">
        <f>'TUSD BE'!$AC$24*'TUSD BF'!$AC$58</f>
        <v>0</v>
      </c>
      <c r="AD24" s="12">
        <f>SUM($AC$24:$AC$24)</f>
        <v>0</v>
      </c>
      <c r="AE24" s="12">
        <f ca="1">$AO$24*$AO$55</f>
        <v>0</v>
      </c>
      <c r="AF24" s="12">
        <f ca="1">$AP$24*$AP$55</f>
        <v>0</v>
      </c>
      <c r="AG24" s="12">
        <f ca="1">SUM($AE$24:$AF$24)</f>
        <v>0</v>
      </c>
      <c r="AH24" s="12">
        <f>'TUSD BE'!$AH$24*'TUSD BF'!$AH$58</f>
        <v>0</v>
      </c>
      <c r="AI24" s="12">
        <f>'TUSD BE'!$AI$24*'TUSD BF'!$AI$58</f>
        <v>0</v>
      </c>
      <c r="AJ24" s="12">
        <f ca="1">'TUSD BE'!$AJ$24*'TUSD BF'!$AJ$58</f>
        <v>0</v>
      </c>
      <c r="AK24" s="12">
        <f ca="1">'TUSD BE'!$AK$24*'TUSD BF'!$AK$58</f>
        <v>0</v>
      </c>
      <c r="AL24" s="12">
        <f ca="1">SUM($AH$24:$AK$24)</f>
        <v>0</v>
      </c>
      <c r="AM24" s="12">
        <f ca="1">SUMIF($L$4:$AL$4,"SUBTOTAL",$L$24:$AL$24)</f>
        <v>0</v>
      </c>
      <c r="AO24" s="20">
        <f ca="1">+'TUSD BE'!$T$24+'TUSD BE'!$AB$24+'TUSD BE'!$AD$24+'TUSD BE'!$AL$24</f>
        <v>182.7086749656597</v>
      </c>
      <c r="AP24" s="20">
        <f ca="1">+'TUSD BE'!$T$24+'TUSD BE'!$AB$24+'TUSD BE'!$AD$24+'TUSD BE'!$AL$24</f>
        <v>182.7086749656597</v>
      </c>
    </row>
    <row r="25" spans="1:42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>
        <f>'TUSD BE'!$L$25*'TUSD BF'!$L$58</f>
        <v>0</v>
      </c>
      <c r="M25" s="12">
        <f>'TUSD BE'!$M$25*'TUSD BF'!$M$58</f>
        <v>0</v>
      </c>
      <c r="N25" s="12">
        <f ca="1">'TUSD BE'!$N$25*'TUSD BF'!$N$58</f>
        <v>0</v>
      </c>
      <c r="O25" s="12">
        <f>'TUSD BE'!$O$25*'TUSD BF'!$O$58</f>
        <v>0</v>
      </c>
      <c r="P25" s="12">
        <f>'TUSD BE'!$P$25*'TUSD BF'!$P$58</f>
        <v>0</v>
      </c>
      <c r="Q25" s="12">
        <f>'TUSD BE'!$Q$25*'TUSD BF'!$Q$58</f>
        <v>0</v>
      </c>
      <c r="R25" s="12">
        <f>'TUSD BE'!$R$25*'TUSD BF'!$R$58</f>
        <v>0</v>
      </c>
      <c r="S25" s="12">
        <f>'TUSD BE'!$R$25*'TUSD BF'!$S$58</f>
        <v>0</v>
      </c>
      <c r="T25" s="12">
        <f ca="1">SUM($L$25:$S$25)</f>
        <v>0</v>
      </c>
      <c r="U25" s="12">
        <f>'TUSD BE'!$U$25*'TUSD BF'!$U$58</f>
        <v>0</v>
      </c>
      <c r="V25" s="12">
        <f>'TUSD BE'!$V$25*'TUSD BF'!$V$58</f>
        <v>0</v>
      </c>
      <c r="W25" s="12">
        <f>'TUSD BE'!$W$25*'TUSD BF'!$W$58</f>
        <v>0</v>
      </c>
      <c r="X25" s="12">
        <f>'TUSD BE'!$X$25*'TUSD BF'!$X$58</f>
        <v>0</v>
      </c>
      <c r="Y25" s="12">
        <f>'TUSD BE'!$Y$25*'TUSD BF'!$Y$58</f>
        <v>0</v>
      </c>
      <c r="Z25" s="12">
        <f>'TUSD BE'!$Z$25*'TUSD BF'!$Z$58</f>
        <v>0</v>
      </c>
      <c r="AA25" s="12">
        <f>'TUSD BE'!$AA$25*'TUSD BF'!$AA$58</f>
        <v>0</v>
      </c>
      <c r="AB25" s="12">
        <f>SUM($U$25:$AA$25)</f>
        <v>0</v>
      </c>
      <c r="AC25" s="12">
        <f>'TUSD BE'!$AC$25*'TUSD BF'!$AC$58</f>
        <v>0</v>
      </c>
      <c r="AD25" s="12">
        <f>SUM($AC$25:$AC$25)</f>
        <v>0</v>
      </c>
      <c r="AE25" s="12">
        <f ca="1">$AO$25*$AO$55</f>
        <v>0</v>
      </c>
      <c r="AF25" s="12">
        <f ca="1">$AP$25*$AP$55</f>
        <v>0</v>
      </c>
      <c r="AG25" s="12">
        <f ca="1">SUM($AE$25:$AF$25)</f>
        <v>0</v>
      </c>
      <c r="AH25" s="12">
        <f>'TUSD BE'!$AH$25*'TUSD BF'!$AH$58</f>
        <v>0</v>
      </c>
      <c r="AI25" s="12">
        <f>'TUSD BE'!$AI$25*'TUSD BF'!$AI$58</f>
        <v>0</v>
      </c>
      <c r="AJ25" s="12">
        <f ca="1">'TUSD BE'!$AJ$25*'TUSD BF'!$AJ$58</f>
        <v>0</v>
      </c>
      <c r="AK25" s="12">
        <f ca="1">'TUSD BE'!$AK$25*'TUSD BF'!$AK$58</f>
        <v>0</v>
      </c>
      <c r="AL25" s="12">
        <f ca="1">SUM($AH$25:$AK$25)</f>
        <v>0</v>
      </c>
      <c r="AM25" s="12">
        <f ca="1">SUMIF($L$4:$AL$4,"SUBTOTAL",$L$25:$AL$25)</f>
        <v>0</v>
      </c>
      <c r="AO25" s="20">
        <f ca="1">+'TUSD BE'!$T$25+'TUSD BE'!$AB$25+'TUSD BE'!$AD$25+'TUSD BE'!$AL$25</f>
        <v>286.65487068141226</v>
      </c>
      <c r="AP25" s="20">
        <f ca="1">+'TUSD BE'!$T$25+'TUSD BE'!$AB$25+'TUSD BE'!$AD$25+'TUSD BE'!$AL$25</f>
        <v>286.65487068141226</v>
      </c>
    </row>
    <row r="26" spans="1:42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>
        <f>'TUSD BE'!$L$26*'TUSD BF'!$L$58</f>
        <v>0</v>
      </c>
      <c r="M26" s="12">
        <f>'TUSD BE'!$M$26*'TUSD BF'!$M$58</f>
        <v>0</v>
      </c>
      <c r="N26" s="12">
        <f ca="1">'TUSD BE'!$N$26*'TUSD BF'!$N$58</f>
        <v>0</v>
      </c>
      <c r="O26" s="12">
        <f>'TUSD BE'!$O$26*'TUSD BF'!$O$58</f>
        <v>0</v>
      </c>
      <c r="P26" s="12">
        <f>'TUSD BE'!$P$26*'TUSD BF'!$P$58</f>
        <v>0</v>
      </c>
      <c r="Q26" s="12">
        <f>'TUSD BE'!$Q$26*'TUSD BF'!$Q$58</f>
        <v>0</v>
      </c>
      <c r="R26" s="12">
        <f>'TUSD BE'!$R$26*'TUSD BF'!$R$58</f>
        <v>0</v>
      </c>
      <c r="S26" s="12">
        <f>'TUSD BE'!$R$26*'TUSD BF'!$S$58</f>
        <v>0</v>
      </c>
      <c r="T26" s="12">
        <f ca="1">SUM($L$26:$S$26)</f>
        <v>0</v>
      </c>
      <c r="U26" s="12">
        <f>'TUSD BE'!$U$26*'TUSD BF'!$U$58</f>
        <v>0</v>
      </c>
      <c r="V26" s="12">
        <f>'TUSD BE'!$V$26*'TUSD BF'!$V$58</f>
        <v>0</v>
      </c>
      <c r="W26" s="12">
        <f>'TUSD BE'!$W$26*'TUSD BF'!$W$58</f>
        <v>0</v>
      </c>
      <c r="X26" s="12">
        <f>'TUSD BE'!$X$26*'TUSD BF'!$X$58</f>
        <v>0</v>
      </c>
      <c r="Y26" s="12">
        <f>'TUSD BE'!$Y$26*'TUSD BF'!$Y$58</f>
        <v>0</v>
      </c>
      <c r="Z26" s="12">
        <f>'TUSD BE'!$Z$26*'TUSD BF'!$Z$58</f>
        <v>0</v>
      </c>
      <c r="AA26" s="12">
        <f>'TUSD BE'!$AA$26*'TUSD BF'!$AA$58</f>
        <v>0</v>
      </c>
      <c r="AB26" s="12">
        <f>SUM($U$26:$AA$26)</f>
        <v>0</v>
      </c>
      <c r="AC26" s="12">
        <f>'TUSD BE'!$AC$26*'TUSD BF'!$AC$58</f>
        <v>0</v>
      </c>
      <c r="AD26" s="12">
        <f>SUM($AC$26:$AC$26)</f>
        <v>0</v>
      </c>
      <c r="AE26" s="12">
        <f ca="1">$AO$26*$AO$55</f>
        <v>0</v>
      </c>
      <c r="AF26" s="12">
        <f ca="1">$AP$26*$AP$55</f>
        <v>0</v>
      </c>
      <c r="AG26" s="12">
        <f ca="1">SUM($AE$26:$AF$26)</f>
        <v>0</v>
      </c>
      <c r="AH26" s="12">
        <f>'TUSD BE'!$AH$26*'TUSD BF'!$AH$58</f>
        <v>0</v>
      </c>
      <c r="AI26" s="12">
        <f>'TUSD BE'!$AI$26*'TUSD BF'!$AI$58</f>
        <v>0</v>
      </c>
      <c r="AJ26" s="12">
        <f ca="1">'TUSD BE'!$AJ$26*'TUSD BF'!$AJ$58</f>
        <v>0</v>
      </c>
      <c r="AK26" s="12">
        <f ca="1">'TUSD BE'!$AK$26*'TUSD BF'!$AK$58</f>
        <v>0</v>
      </c>
      <c r="AL26" s="12">
        <f ca="1">SUM($AH$26:$AK$26)</f>
        <v>0</v>
      </c>
      <c r="AM26" s="12">
        <f ca="1">SUMIF($L$4:$AL$4,"SUBTOTAL",$L$26:$AL$26)</f>
        <v>0</v>
      </c>
      <c r="AO26" s="20">
        <f ca="1">+'TUSD BE'!$T$26+'TUSD BE'!$AB$26+'TUSD BE'!$AD$26+'TUSD BE'!$AL$26</f>
        <v>182.7086749656597</v>
      </c>
      <c r="AP26" s="20">
        <f ca="1">+'TUSD BE'!$T$26+'TUSD BE'!$AB$26+'TUSD BE'!$AD$26+'TUSD BE'!$AL$26</f>
        <v>182.7086749656597</v>
      </c>
    </row>
    <row r="27" spans="1:42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>
        <f>'TUSD BE'!$L$27*'TUSD BF'!$L$58</f>
        <v>0</v>
      </c>
      <c r="M27" s="12">
        <f>'TUSD BE'!$M$27*'TUSD BF'!$M$58</f>
        <v>0</v>
      </c>
      <c r="N27" s="12">
        <f ca="1">'TUSD BE'!$N$27*'TUSD BF'!$N$58</f>
        <v>0</v>
      </c>
      <c r="O27" s="12">
        <f>'TUSD BE'!$O$27*'TUSD BF'!$O$58</f>
        <v>0</v>
      </c>
      <c r="P27" s="12">
        <f>'TUSD BE'!$P$27*'TUSD BF'!$P$58</f>
        <v>0</v>
      </c>
      <c r="Q27" s="12">
        <f>'TUSD BE'!$Q$27*'TUSD BF'!$Q$58</f>
        <v>0</v>
      </c>
      <c r="R27" s="12">
        <f>'TUSD BE'!$R$27*'TUSD BF'!$R$58</f>
        <v>0</v>
      </c>
      <c r="S27" s="12">
        <f>'TUSD BE'!$R$27*'TUSD BF'!$S$58</f>
        <v>0</v>
      </c>
      <c r="T27" s="12">
        <f ca="1">SUM($L$27:$S$27)</f>
        <v>0</v>
      </c>
      <c r="U27" s="12">
        <f>'TUSD BE'!$U$27*'TUSD BF'!$U$58</f>
        <v>0</v>
      </c>
      <c r="V27" s="12">
        <f>'TUSD BE'!$V$27*'TUSD BF'!$V$58</f>
        <v>0</v>
      </c>
      <c r="W27" s="12">
        <f>'TUSD BE'!$W$27*'TUSD BF'!$W$58</f>
        <v>0</v>
      </c>
      <c r="X27" s="12">
        <f>'TUSD BE'!$X$27*'TUSD BF'!$X$58</f>
        <v>0</v>
      </c>
      <c r="Y27" s="12">
        <f>'TUSD BE'!$Y$27*'TUSD BF'!$Y$58</f>
        <v>0</v>
      </c>
      <c r="Z27" s="12">
        <f>'TUSD BE'!$Z$27*'TUSD BF'!$Z$58</f>
        <v>0</v>
      </c>
      <c r="AA27" s="12">
        <f>'TUSD BE'!$AA$27*'TUSD BF'!$AA$58</f>
        <v>0</v>
      </c>
      <c r="AB27" s="12">
        <f>SUM($U$27:$AA$27)</f>
        <v>0</v>
      </c>
      <c r="AC27" s="12">
        <f>'TUSD BE'!$AC$27*'TUSD BF'!$AC$58</f>
        <v>0</v>
      </c>
      <c r="AD27" s="12">
        <f>SUM($AC$27:$AC$27)</f>
        <v>0</v>
      </c>
      <c r="AE27" s="12">
        <f ca="1">$AO$27*$AO$55</f>
        <v>0</v>
      </c>
      <c r="AF27" s="12">
        <f ca="1">$AP$27*$AP$55</f>
        <v>0</v>
      </c>
      <c r="AG27" s="12">
        <f ca="1">SUM($AE$27:$AF$27)</f>
        <v>0</v>
      </c>
      <c r="AH27" s="12">
        <f>'TUSD BE'!$AH$27*'TUSD BF'!$AH$58</f>
        <v>0</v>
      </c>
      <c r="AI27" s="12">
        <f>'TUSD BE'!$AI$27*'TUSD BF'!$AI$58</f>
        <v>0</v>
      </c>
      <c r="AJ27" s="12">
        <f ca="1">'TUSD BE'!$AJ$27*'TUSD BF'!$AJ$58</f>
        <v>0</v>
      </c>
      <c r="AK27" s="12">
        <f ca="1">'TUSD BE'!$AK$27*'TUSD BF'!$AK$58</f>
        <v>0</v>
      </c>
      <c r="AL27" s="12">
        <f ca="1">SUM($AH$27:$AK$27)</f>
        <v>0</v>
      </c>
      <c r="AM27" s="12">
        <f ca="1">SUMIF($L$4:$AL$4,"SUBTOTAL",$L$27:$AL$27)</f>
        <v>0</v>
      </c>
      <c r="AO27" s="20">
        <f ca="1">+'TUSD BE'!$T$27+'TUSD BE'!$AB$27+'TUSD BE'!$AD$27+'TUSD BE'!$AL$27</f>
        <v>182.7086749656597</v>
      </c>
      <c r="AP27" s="20">
        <f ca="1">+'TUSD BE'!$T$27+'TUSD BE'!$AB$27+'TUSD BE'!$AD$27+'TUSD BE'!$AL$27</f>
        <v>182.7086749656597</v>
      </c>
    </row>
    <row r="28" spans="1:42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>
        <f>'TUSD BE'!$L$28*'TUSD BF'!$L$58</f>
        <v>0</v>
      </c>
      <c r="M28" s="12">
        <f>'TUSD BE'!$M$28*'TUSD BF'!$M$58</f>
        <v>0</v>
      </c>
      <c r="N28" s="12">
        <f ca="1">'TUSD BE'!$N$28*'TUSD BF'!$N$58</f>
        <v>0</v>
      </c>
      <c r="O28" s="12">
        <f>'TUSD BE'!$O$28*'TUSD BF'!$O$58</f>
        <v>0</v>
      </c>
      <c r="P28" s="12">
        <f>'TUSD BE'!$P$28*'TUSD BF'!$P$58</f>
        <v>0</v>
      </c>
      <c r="Q28" s="12">
        <f>'TUSD BE'!$Q$28*'TUSD BF'!$Q$58</f>
        <v>0</v>
      </c>
      <c r="R28" s="12">
        <f>'TUSD BE'!$R$28*'TUSD BF'!$R$58</f>
        <v>0</v>
      </c>
      <c r="S28" s="12">
        <f>'TUSD BE'!$R$28*'TUSD BF'!$S$58</f>
        <v>0</v>
      </c>
      <c r="T28" s="12">
        <f ca="1">SUM($L$28:$S$28)</f>
        <v>0</v>
      </c>
      <c r="U28" s="12">
        <f>'TUSD BE'!$U$28*'TUSD BF'!$U$58</f>
        <v>0</v>
      </c>
      <c r="V28" s="12">
        <f>'TUSD BE'!$V$28*'TUSD BF'!$V$58</f>
        <v>0</v>
      </c>
      <c r="W28" s="12">
        <f>'TUSD BE'!$W$28*'TUSD BF'!$W$58</f>
        <v>0</v>
      </c>
      <c r="X28" s="12">
        <f>'TUSD BE'!$X$28*'TUSD BF'!$X$58</f>
        <v>0</v>
      </c>
      <c r="Y28" s="12">
        <f>'TUSD BE'!$Y$28*'TUSD BF'!$Y$58</f>
        <v>0</v>
      </c>
      <c r="Z28" s="12">
        <f>'TUSD BE'!$Z$28*'TUSD BF'!$Z$58</f>
        <v>0</v>
      </c>
      <c r="AA28" s="12">
        <f>'TUSD BE'!$AA$28*'TUSD BF'!$AA$58</f>
        <v>0</v>
      </c>
      <c r="AB28" s="12">
        <f>SUM($U$28:$AA$28)</f>
        <v>0</v>
      </c>
      <c r="AC28" s="12">
        <f>'TUSD BE'!$AC$28*'TUSD BF'!$AC$58</f>
        <v>0</v>
      </c>
      <c r="AD28" s="12">
        <f>SUM($AC$28:$AC$28)</f>
        <v>0</v>
      </c>
      <c r="AE28" s="12">
        <f ca="1">$AO$28*$AO$55</f>
        <v>0</v>
      </c>
      <c r="AF28" s="12">
        <f ca="1">$AP$28*$AP$55</f>
        <v>0</v>
      </c>
      <c r="AG28" s="12">
        <f ca="1">SUM($AE$28:$AF$28)</f>
        <v>0</v>
      </c>
      <c r="AH28" s="12">
        <f>'TUSD BE'!$AH$28*'TUSD BF'!$AH$58</f>
        <v>0</v>
      </c>
      <c r="AI28" s="12">
        <f>'TUSD BE'!$AI$28*'TUSD BF'!$AI$58</f>
        <v>0</v>
      </c>
      <c r="AJ28" s="12">
        <f ca="1">'TUSD BE'!$AJ$28*'TUSD BF'!$AJ$58</f>
        <v>0</v>
      </c>
      <c r="AK28" s="12">
        <f ca="1">'TUSD BE'!$AK$28*'TUSD BF'!$AK$58</f>
        <v>0</v>
      </c>
      <c r="AL28" s="12">
        <f ca="1">SUM($AH$28:$AK$28)</f>
        <v>0</v>
      </c>
      <c r="AM28" s="12">
        <f ca="1">SUMIF($L$4:$AL$4,"SUBTOTAL",$L$28:$AL$28)</f>
        <v>0</v>
      </c>
      <c r="AO28" s="20">
        <f ca="1">+'TUSD BE'!$T$28+'TUSD BE'!$AB$28+'TUSD BE'!$AD$28+'TUSD BE'!$AL$28</f>
        <v>182.7086749656597</v>
      </c>
      <c r="AP28" s="20">
        <f ca="1">+'TUSD BE'!$T$28+'TUSD BE'!$AB$28+'TUSD BE'!$AD$28+'TUSD BE'!$AL$28</f>
        <v>182.7086749656597</v>
      </c>
    </row>
    <row r="29" spans="1:42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>
        <f>'TUSD BE'!$L$29*'TUSD BF'!$L$58</f>
        <v>0</v>
      </c>
      <c r="M29" s="12">
        <f>'TUSD BE'!$M$29*'TUSD BF'!$M$58</f>
        <v>0</v>
      </c>
      <c r="N29" s="12">
        <f ca="1">'TUSD BE'!$N$29*'TUSD BF'!$N$58</f>
        <v>0</v>
      </c>
      <c r="O29" s="12">
        <f>'TUSD BE'!$O$29*'TUSD BF'!$O$58</f>
        <v>0</v>
      </c>
      <c r="P29" s="12">
        <f>'TUSD BE'!$P$29*'TUSD BF'!$P$58</f>
        <v>0</v>
      </c>
      <c r="Q29" s="12">
        <f>'TUSD BE'!$Q$29*'TUSD BF'!$Q$58</f>
        <v>0</v>
      </c>
      <c r="R29" s="12">
        <f>'TUSD BE'!$R$29*'TUSD BF'!$R$58</f>
        <v>0</v>
      </c>
      <c r="S29" s="12">
        <f>'TUSD BE'!$R$29*'TUSD BF'!$S$58</f>
        <v>0</v>
      </c>
      <c r="T29" s="12">
        <f ca="1">SUM($L$29:$S$29)</f>
        <v>0</v>
      </c>
      <c r="U29" s="12">
        <f>'TUSD BE'!$U$29*'TUSD BF'!$U$58</f>
        <v>0</v>
      </c>
      <c r="V29" s="12">
        <f>'TUSD BE'!$V$29*'TUSD BF'!$V$58</f>
        <v>0</v>
      </c>
      <c r="W29" s="12">
        <f>'TUSD BE'!$W$29*'TUSD BF'!$W$58</f>
        <v>0</v>
      </c>
      <c r="X29" s="12">
        <f>'TUSD BE'!$X$29*'TUSD BF'!$X$58</f>
        <v>0</v>
      </c>
      <c r="Y29" s="12">
        <f>'TUSD BE'!$Y$29*'TUSD BF'!$Y$58</f>
        <v>0</v>
      </c>
      <c r="Z29" s="12">
        <f>'TUSD BE'!$Z$29*'TUSD BF'!$Z$58</f>
        <v>0</v>
      </c>
      <c r="AA29" s="12">
        <f>'TUSD BE'!$AA$29*'TUSD BF'!$AA$58</f>
        <v>0</v>
      </c>
      <c r="AB29" s="12">
        <f>SUM($U$29:$AA$29)</f>
        <v>0</v>
      </c>
      <c r="AC29" s="12">
        <f>'TUSD BE'!$AC$29*'TUSD BF'!$AC$58</f>
        <v>0</v>
      </c>
      <c r="AD29" s="12">
        <f>SUM($AC$29:$AC$29)</f>
        <v>0</v>
      </c>
      <c r="AE29" s="12">
        <f ca="1">$AO$29*$AO$55</f>
        <v>0</v>
      </c>
      <c r="AF29" s="12">
        <f ca="1">$AP$29*$AP$55</f>
        <v>0</v>
      </c>
      <c r="AG29" s="12">
        <f ca="1">SUM($AE$29:$AF$29)</f>
        <v>0</v>
      </c>
      <c r="AH29" s="12">
        <f>'TUSD BE'!$AH$29*'TUSD BF'!$AH$58</f>
        <v>0</v>
      </c>
      <c r="AI29" s="12">
        <f>'TUSD BE'!$AI$29*'TUSD BF'!$AI$58</f>
        <v>0</v>
      </c>
      <c r="AJ29" s="12">
        <f ca="1">'TUSD BE'!$AJ$29*'TUSD BF'!$AJ$58</f>
        <v>0</v>
      </c>
      <c r="AK29" s="12">
        <f ca="1">'TUSD BE'!$AK$29*'TUSD BF'!$AK$58</f>
        <v>0</v>
      </c>
      <c r="AL29" s="12">
        <f ca="1">SUM($AH$29:$AK$29)</f>
        <v>0</v>
      </c>
      <c r="AM29" s="12">
        <f ca="1">SUMIF($L$4:$AL$4,"SUBTOTAL",$L$29:$AL$29)</f>
        <v>0</v>
      </c>
      <c r="AO29" s="20">
        <f ca="1">+'TUSD BE'!$T$29+'TUSD BE'!$AB$29+'TUSD BE'!$AD$29+'TUSD BE'!$AL$29</f>
        <v>182.7086749656597</v>
      </c>
      <c r="AP29" s="20">
        <f ca="1">+'TUSD BE'!$T$29+'TUSD BE'!$AB$29+'TUSD BE'!$AD$29+'TUSD BE'!$AL$29</f>
        <v>182.7086749656597</v>
      </c>
    </row>
    <row r="30" spans="1:42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>
        <f>'TUSD BE'!$L$30*'TUSD BF'!$L$58</f>
        <v>0</v>
      </c>
      <c r="M30" s="12">
        <f>'TUSD BE'!$M$30*'TUSD BF'!$M$58</f>
        <v>0</v>
      </c>
      <c r="N30" s="12">
        <f ca="1">'TUSD BE'!$N$30*'TUSD BF'!$N$58</f>
        <v>0</v>
      </c>
      <c r="O30" s="12">
        <f>'TUSD BE'!$O$30*'TUSD BF'!$O$58</f>
        <v>0</v>
      </c>
      <c r="P30" s="12">
        <f>'TUSD BE'!$P$30*'TUSD BF'!$P$58</f>
        <v>0</v>
      </c>
      <c r="Q30" s="12">
        <f>'TUSD BE'!$Q$30*'TUSD BF'!$Q$58</f>
        <v>0</v>
      </c>
      <c r="R30" s="12">
        <f>'TUSD BE'!$R$30*'TUSD BF'!$R$58</f>
        <v>0</v>
      </c>
      <c r="S30" s="12">
        <f>'TUSD BE'!$R$30*'TUSD BF'!$S$58</f>
        <v>0</v>
      </c>
      <c r="T30" s="12">
        <f ca="1">SUM($L$30:$S$30)</f>
        <v>0</v>
      </c>
      <c r="U30" s="12">
        <f>'TUSD BE'!$U$30*'TUSD BF'!$U$58</f>
        <v>0</v>
      </c>
      <c r="V30" s="12">
        <f>'TUSD BE'!$V$30*'TUSD BF'!$V$58</f>
        <v>0</v>
      </c>
      <c r="W30" s="12">
        <f>'TUSD BE'!$W$30*'TUSD BF'!$W$58</f>
        <v>0</v>
      </c>
      <c r="X30" s="12">
        <f>'TUSD BE'!$X$30*'TUSD BF'!$X$58</f>
        <v>0</v>
      </c>
      <c r="Y30" s="12">
        <f>'TUSD BE'!$Y$30*'TUSD BF'!$Y$58</f>
        <v>0</v>
      </c>
      <c r="Z30" s="12">
        <f>'TUSD BE'!$Z$30*'TUSD BF'!$Z$58</f>
        <v>0</v>
      </c>
      <c r="AA30" s="12">
        <f>'TUSD BE'!$AA$30*'TUSD BF'!$AA$58</f>
        <v>0</v>
      </c>
      <c r="AB30" s="12">
        <f>SUM($U$30:$AA$30)</f>
        <v>0</v>
      </c>
      <c r="AC30" s="12">
        <f>'TUSD BE'!$AC$30*'TUSD BF'!$AC$58</f>
        <v>0</v>
      </c>
      <c r="AD30" s="12">
        <f>SUM($AC$30:$AC$30)</f>
        <v>0</v>
      </c>
      <c r="AE30" s="12">
        <f ca="1">$AO$30*$AO$55</f>
        <v>0</v>
      </c>
      <c r="AF30" s="12">
        <f ca="1">$AP$30*$AP$55</f>
        <v>0</v>
      </c>
      <c r="AG30" s="12">
        <f ca="1">SUM($AE$30:$AF$30)</f>
        <v>0</v>
      </c>
      <c r="AH30" s="12">
        <f>'TUSD BE'!$AH$30*'TUSD BF'!$AH$58</f>
        <v>0</v>
      </c>
      <c r="AI30" s="12">
        <f>'TUSD BE'!$AI$30*'TUSD BF'!$AI$58</f>
        <v>0</v>
      </c>
      <c r="AJ30" s="12">
        <f ca="1">'TUSD BE'!$AJ$30*'TUSD BF'!$AJ$58</f>
        <v>0</v>
      </c>
      <c r="AK30" s="12">
        <f ca="1">'TUSD BE'!$AK$30*'TUSD BF'!$AK$58</f>
        <v>0</v>
      </c>
      <c r="AL30" s="12">
        <f ca="1">SUM($AH$30:$AK$30)</f>
        <v>0</v>
      </c>
      <c r="AM30" s="12">
        <f ca="1">SUMIF($L$4:$AL$4,"SUBTOTAL",$L$30:$AL$30)</f>
        <v>0</v>
      </c>
      <c r="AO30" s="20">
        <f ca="1">+'TUSD BE'!$T$30+'TUSD BE'!$AB$30+'TUSD BE'!$AD$30+'TUSD BE'!$AL$30</f>
        <v>615.41740176765848</v>
      </c>
      <c r="AP30" s="20">
        <f ca="1">+'TUSD BE'!$T$30+'TUSD BE'!$AB$30+'TUSD BE'!$AD$30+'TUSD BE'!$AL$30</f>
        <v>615.41740176765848</v>
      </c>
    </row>
    <row r="31" spans="1:42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>
        <f>'TUSD BE'!$L$31*'TUSD BF'!$L$58</f>
        <v>0</v>
      </c>
      <c r="M31" s="12">
        <f>'TUSD BE'!$M$31*'TUSD BF'!$M$58</f>
        <v>0</v>
      </c>
      <c r="N31" s="12">
        <f ca="1">'TUSD BE'!$N$31*'TUSD BF'!$N$58</f>
        <v>0</v>
      </c>
      <c r="O31" s="12">
        <f>'TUSD BE'!$O$31*'TUSD BF'!$O$58</f>
        <v>0</v>
      </c>
      <c r="P31" s="12">
        <f>'TUSD BE'!$P$31*'TUSD BF'!$P$58</f>
        <v>0</v>
      </c>
      <c r="Q31" s="12">
        <f>'TUSD BE'!$Q$31*'TUSD BF'!$Q$58</f>
        <v>0</v>
      </c>
      <c r="R31" s="12">
        <f>'TUSD BE'!$R$31*'TUSD BF'!$R$58</f>
        <v>0</v>
      </c>
      <c r="S31" s="12">
        <f>'TUSD BE'!$R$31*'TUSD BF'!$S$58</f>
        <v>0</v>
      </c>
      <c r="T31" s="12">
        <f ca="1">SUM($L$31:$S$31)</f>
        <v>0</v>
      </c>
      <c r="U31" s="12">
        <f>'TUSD BE'!$U$31*'TUSD BF'!$U$58</f>
        <v>0</v>
      </c>
      <c r="V31" s="12">
        <f>'TUSD BE'!$V$31*'TUSD BF'!$V$58</f>
        <v>0</v>
      </c>
      <c r="W31" s="12">
        <f>'TUSD BE'!$W$31*'TUSD BF'!$W$58</f>
        <v>0</v>
      </c>
      <c r="X31" s="12">
        <f>'TUSD BE'!$X$31*'TUSD BF'!$X$58</f>
        <v>0</v>
      </c>
      <c r="Y31" s="12">
        <f>'TUSD BE'!$Y$31*'TUSD BF'!$Y$58</f>
        <v>0</v>
      </c>
      <c r="Z31" s="12">
        <f>'TUSD BE'!$Z$31*'TUSD BF'!$Z$58</f>
        <v>0</v>
      </c>
      <c r="AA31" s="12">
        <f>'TUSD BE'!$AA$31*'TUSD BF'!$AA$58</f>
        <v>0</v>
      </c>
      <c r="AB31" s="12">
        <f>SUM($U$31:$AA$31)</f>
        <v>0</v>
      </c>
      <c r="AC31" s="12">
        <f>'TUSD BE'!$AC$31*'TUSD BF'!$AC$58</f>
        <v>0</v>
      </c>
      <c r="AD31" s="12">
        <f>SUM($AC$31:$AC$31)</f>
        <v>0</v>
      </c>
      <c r="AE31" s="12">
        <f ca="1">$AO$31*$AO$55</f>
        <v>0</v>
      </c>
      <c r="AF31" s="12">
        <f ca="1">$AP$31*$AP$55</f>
        <v>0</v>
      </c>
      <c r="AG31" s="12">
        <f ca="1">SUM($AE$31:$AF$31)</f>
        <v>0</v>
      </c>
      <c r="AH31" s="12">
        <f>'TUSD BE'!$AH$31*'TUSD BF'!$AH$58</f>
        <v>0</v>
      </c>
      <c r="AI31" s="12">
        <f>'TUSD BE'!$AI$31*'TUSD BF'!$AI$58</f>
        <v>0</v>
      </c>
      <c r="AJ31" s="12">
        <f ca="1">'TUSD BE'!$AJ$31*'TUSD BF'!$AJ$58</f>
        <v>0</v>
      </c>
      <c r="AK31" s="12">
        <f ca="1">'TUSD BE'!$AK$31*'TUSD BF'!$AK$58</f>
        <v>0</v>
      </c>
      <c r="AL31" s="12">
        <f ca="1">SUM($AH$31:$AK$31)</f>
        <v>0</v>
      </c>
      <c r="AM31" s="12">
        <f ca="1">SUMIF($L$4:$AL$4,"SUBTOTAL",$L$31:$AL$31)</f>
        <v>0</v>
      </c>
      <c r="AO31" s="20">
        <f ca="1">+'TUSD BE'!$T$31+'TUSD BE'!$AB$31+'TUSD BE'!$AD$31+'TUSD BE'!$AL$31</f>
        <v>416.45156612458635</v>
      </c>
      <c r="AP31" s="20">
        <f ca="1">+'TUSD BE'!$T$31+'TUSD BE'!$AB$31+'TUSD BE'!$AD$31+'TUSD BE'!$AL$31</f>
        <v>416.45156612458635</v>
      </c>
    </row>
    <row r="32" spans="1:42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>
        <f>'TUSD BE'!$L$32*'TUSD BF'!$L$58</f>
        <v>0</v>
      </c>
      <c r="M32" s="12">
        <f>'TUSD BE'!$M$32*'TUSD BF'!$M$58</f>
        <v>0</v>
      </c>
      <c r="N32" s="12">
        <f ca="1">'TUSD BE'!$N$32*'TUSD BF'!$N$58</f>
        <v>0</v>
      </c>
      <c r="O32" s="12">
        <f>'TUSD BE'!$O$32*'TUSD BF'!$O$58</f>
        <v>0</v>
      </c>
      <c r="P32" s="12">
        <f>'TUSD BE'!$P$32*'TUSD BF'!$P$58</f>
        <v>0</v>
      </c>
      <c r="Q32" s="12">
        <f>'TUSD BE'!$Q$32*'TUSD BF'!$Q$58</f>
        <v>0</v>
      </c>
      <c r="R32" s="12">
        <f>'TUSD BE'!$R$32*'TUSD BF'!$R$58</f>
        <v>0</v>
      </c>
      <c r="S32" s="12">
        <f>'TUSD BE'!$R$32*'TUSD BF'!$S$58</f>
        <v>0</v>
      </c>
      <c r="T32" s="12">
        <f ca="1">SUM($L$32:$S$32)</f>
        <v>0</v>
      </c>
      <c r="U32" s="12">
        <f>'TUSD BE'!$U$32*'TUSD BF'!$U$58</f>
        <v>0</v>
      </c>
      <c r="V32" s="12">
        <f>'TUSD BE'!$V$32*'TUSD BF'!$V$58</f>
        <v>0</v>
      </c>
      <c r="W32" s="12">
        <f>'TUSD BE'!$W$32*'TUSD BF'!$W$58</f>
        <v>0</v>
      </c>
      <c r="X32" s="12">
        <f>'TUSD BE'!$X$32*'TUSD BF'!$X$58</f>
        <v>0</v>
      </c>
      <c r="Y32" s="12">
        <f>'TUSD BE'!$Y$32*'TUSD BF'!$Y$58</f>
        <v>0</v>
      </c>
      <c r="Z32" s="12">
        <f>'TUSD BE'!$Z$32*'TUSD BF'!$Z$58</f>
        <v>0</v>
      </c>
      <c r="AA32" s="12">
        <f>'TUSD BE'!$AA$32*'TUSD BF'!$AA$58</f>
        <v>0</v>
      </c>
      <c r="AB32" s="12">
        <f>SUM($U$32:$AA$32)</f>
        <v>0</v>
      </c>
      <c r="AC32" s="12">
        <f>'TUSD BE'!$AC$32*'TUSD BF'!$AC$58</f>
        <v>0</v>
      </c>
      <c r="AD32" s="12">
        <f>SUM($AC$32:$AC$32)</f>
        <v>0</v>
      </c>
      <c r="AE32" s="12">
        <f ca="1">$AO$32*$AO$55</f>
        <v>0</v>
      </c>
      <c r="AF32" s="12">
        <f ca="1">$AP$32*$AP$55</f>
        <v>0</v>
      </c>
      <c r="AG32" s="12">
        <f ca="1">SUM($AE$32:$AF$32)</f>
        <v>0</v>
      </c>
      <c r="AH32" s="12">
        <f>'TUSD BE'!$AH$32*'TUSD BF'!$AH$58</f>
        <v>0</v>
      </c>
      <c r="AI32" s="12">
        <f>'TUSD BE'!$AI$32*'TUSD BF'!$AI$58</f>
        <v>0</v>
      </c>
      <c r="AJ32" s="12">
        <f ca="1">'TUSD BE'!$AJ$32*'TUSD BF'!$AJ$58</f>
        <v>0</v>
      </c>
      <c r="AK32" s="12">
        <f ca="1">'TUSD BE'!$AK$32*'TUSD BF'!$AK$58</f>
        <v>0</v>
      </c>
      <c r="AL32" s="12">
        <f ca="1">SUM($AH$32:$AK$32)</f>
        <v>0</v>
      </c>
      <c r="AM32" s="12">
        <f ca="1">SUMIF($L$4:$AL$4,"SUBTOTAL",$L$32:$AL$32)</f>
        <v>0</v>
      </c>
      <c r="AO32" s="20">
        <f ca="1">+'TUSD BE'!$T$32+'TUSD BE'!$AB$32+'TUSD BE'!$AD$32+'TUSD BE'!$AL$32</f>
        <v>217.53247505249126</v>
      </c>
      <c r="AP32" s="20">
        <f ca="1">+'TUSD BE'!$T$32+'TUSD BE'!$AB$32+'TUSD BE'!$AD$32+'TUSD BE'!$AL$32</f>
        <v>217.53247505249126</v>
      </c>
    </row>
    <row r="33" spans="1:42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>
        <f>'TUSD BE'!$L$33*'TUSD BF'!$L$58</f>
        <v>0</v>
      </c>
      <c r="M33" s="12">
        <f>'TUSD BE'!$M$33*'TUSD BF'!$M$58</f>
        <v>0</v>
      </c>
      <c r="N33" s="12">
        <f ca="1">'TUSD BE'!$N$33*'TUSD BF'!$N$58</f>
        <v>0</v>
      </c>
      <c r="O33" s="12">
        <f>'TUSD BE'!$O$33*'TUSD BF'!$O$58</f>
        <v>0</v>
      </c>
      <c r="P33" s="12">
        <f>'TUSD BE'!$P$33*'TUSD BF'!$P$58</f>
        <v>0</v>
      </c>
      <c r="Q33" s="12">
        <f>'TUSD BE'!$Q$33*'TUSD BF'!$Q$58</f>
        <v>0</v>
      </c>
      <c r="R33" s="12">
        <f>'TUSD BE'!$R$33*'TUSD BF'!$R$58</f>
        <v>0</v>
      </c>
      <c r="S33" s="12">
        <f>'TUSD BE'!$R$33*'TUSD BF'!$S$58</f>
        <v>0</v>
      </c>
      <c r="T33" s="12">
        <f ca="1">SUM($L$33:$S$33)</f>
        <v>0</v>
      </c>
      <c r="U33" s="12">
        <f>'TUSD BE'!$U$33*'TUSD BF'!$U$58</f>
        <v>0</v>
      </c>
      <c r="V33" s="12">
        <f>'TUSD BE'!$V$33*'TUSD BF'!$V$58</f>
        <v>0</v>
      </c>
      <c r="W33" s="12">
        <f>'TUSD BE'!$W$33*'TUSD BF'!$W$58</f>
        <v>0</v>
      </c>
      <c r="X33" s="12">
        <f>'TUSD BE'!$X$33*'TUSD BF'!$X$58</f>
        <v>0</v>
      </c>
      <c r="Y33" s="12">
        <f>'TUSD BE'!$Y$33*'TUSD BF'!$Y$58</f>
        <v>0</v>
      </c>
      <c r="Z33" s="12">
        <f>'TUSD BE'!$Z$33*'TUSD BF'!$Z$58</f>
        <v>0</v>
      </c>
      <c r="AA33" s="12">
        <f>'TUSD BE'!$AA$33*'TUSD BF'!$AA$58</f>
        <v>0</v>
      </c>
      <c r="AB33" s="12">
        <f>SUM($U$33:$AA$33)</f>
        <v>0</v>
      </c>
      <c r="AC33" s="12">
        <f>'TUSD BE'!$AC$33*'TUSD BF'!$AC$58</f>
        <v>0</v>
      </c>
      <c r="AD33" s="12">
        <f>SUM($AC$33:$AC$33)</f>
        <v>0</v>
      </c>
      <c r="AE33" s="12">
        <f ca="1">$AO$33*$AO$55</f>
        <v>0</v>
      </c>
      <c r="AF33" s="12">
        <f ca="1">$AP$33*$AP$55</f>
        <v>0</v>
      </c>
      <c r="AG33" s="12">
        <f ca="1">SUM($AE$33:$AF$33)</f>
        <v>0</v>
      </c>
      <c r="AH33" s="12">
        <f>'TUSD BE'!$AH$33*'TUSD BF'!$AH$58</f>
        <v>0</v>
      </c>
      <c r="AI33" s="12">
        <f>'TUSD BE'!$AI$33*'TUSD BF'!$AI$58</f>
        <v>0</v>
      </c>
      <c r="AJ33" s="12">
        <f ca="1">'TUSD BE'!$AJ$33*'TUSD BF'!$AJ$58</f>
        <v>0</v>
      </c>
      <c r="AK33" s="12">
        <f ca="1">'TUSD BE'!$AK$33*'TUSD BF'!$AK$58</f>
        <v>0</v>
      </c>
      <c r="AL33" s="12">
        <f ca="1">SUM($AH$33:$AK$33)</f>
        <v>0</v>
      </c>
      <c r="AM33" s="12">
        <f ca="1">SUMIF($L$4:$AL$4,"SUBTOTAL",$L$33:$AL$33)</f>
        <v>0</v>
      </c>
      <c r="AO33" s="20">
        <f ca="1">+'TUSD BE'!$T$33+'TUSD BE'!$AB$33+'TUSD BE'!$AD$33+'TUSD BE'!$AL$33</f>
        <v>286.65487068141226</v>
      </c>
      <c r="AP33" s="20">
        <f ca="1">+'TUSD BE'!$T$33+'TUSD BE'!$AB$33+'TUSD BE'!$AD$33+'TUSD BE'!$AL$33</f>
        <v>286.65487068141226</v>
      </c>
    </row>
    <row r="34" spans="1:42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>
        <f>'TUSD BE'!$L$34*'TUSD BF'!$L$58</f>
        <v>0</v>
      </c>
      <c r="M34" s="12">
        <f>'TUSD BE'!$M$34*'TUSD BF'!$M$58</f>
        <v>0</v>
      </c>
      <c r="N34" s="12">
        <f ca="1">'TUSD BE'!$N$34*'TUSD BF'!$N$58</f>
        <v>0</v>
      </c>
      <c r="O34" s="12">
        <f>'TUSD BE'!$O$34*'TUSD BF'!$O$58</f>
        <v>0</v>
      </c>
      <c r="P34" s="12">
        <f>'TUSD BE'!$P$34*'TUSD BF'!$P$58</f>
        <v>0</v>
      </c>
      <c r="Q34" s="12">
        <f>'TUSD BE'!$Q$34*'TUSD BF'!$Q$58</f>
        <v>0</v>
      </c>
      <c r="R34" s="12">
        <f>'TUSD BE'!$R$34*'TUSD BF'!$R$58</f>
        <v>0</v>
      </c>
      <c r="S34" s="12">
        <f>'TUSD BE'!$R$34*'TUSD BF'!$S$58</f>
        <v>0</v>
      </c>
      <c r="T34" s="12">
        <f ca="1">SUM($L$34:$S$34)</f>
        <v>0</v>
      </c>
      <c r="U34" s="12">
        <f>'TUSD BE'!$U$34*'TUSD BF'!$U$58</f>
        <v>0</v>
      </c>
      <c r="V34" s="12">
        <f>'TUSD BE'!$V$34*'TUSD BF'!$V$58</f>
        <v>0</v>
      </c>
      <c r="W34" s="12">
        <f>'TUSD BE'!$W$34*'TUSD BF'!$W$58</f>
        <v>0</v>
      </c>
      <c r="X34" s="12">
        <f>'TUSD BE'!$X$34*'TUSD BF'!$X$58</f>
        <v>0</v>
      </c>
      <c r="Y34" s="12">
        <f>'TUSD BE'!$Y$34*'TUSD BF'!$Y$58</f>
        <v>0</v>
      </c>
      <c r="Z34" s="12">
        <f>'TUSD BE'!$Z$34*'TUSD BF'!$Z$58</f>
        <v>0</v>
      </c>
      <c r="AA34" s="12">
        <f>'TUSD BE'!$AA$34*'TUSD BF'!$AA$58</f>
        <v>0</v>
      </c>
      <c r="AB34" s="12">
        <f>SUM($U$34:$AA$34)</f>
        <v>0</v>
      </c>
      <c r="AC34" s="12">
        <f>'TUSD BE'!$AC$34*'TUSD BF'!$AC$58</f>
        <v>0</v>
      </c>
      <c r="AD34" s="12">
        <f>SUM($AC$34:$AC$34)</f>
        <v>0</v>
      </c>
      <c r="AE34" s="12">
        <f ca="1">$AO$34*$AO$55</f>
        <v>0</v>
      </c>
      <c r="AF34" s="12">
        <f ca="1">$AP$34*$AP$55</f>
        <v>0</v>
      </c>
      <c r="AG34" s="12">
        <f ca="1">SUM($AE$34:$AF$34)</f>
        <v>0</v>
      </c>
      <c r="AH34" s="12">
        <f>'TUSD BE'!$AH$34*'TUSD BF'!$AH$58</f>
        <v>0</v>
      </c>
      <c r="AI34" s="12">
        <f>'TUSD BE'!$AI$34*'TUSD BF'!$AI$58</f>
        <v>0</v>
      </c>
      <c r="AJ34" s="12">
        <f ca="1">'TUSD BE'!$AJ$34*'TUSD BF'!$AJ$58</f>
        <v>0</v>
      </c>
      <c r="AK34" s="12">
        <f ca="1">'TUSD BE'!$AK$34*'TUSD BF'!$AK$58</f>
        <v>0</v>
      </c>
      <c r="AL34" s="12">
        <f ca="1">SUM($AH$34:$AK$34)</f>
        <v>0</v>
      </c>
      <c r="AM34" s="12">
        <f ca="1">SUMIF($L$4:$AL$4,"SUBTOTAL",$L$34:$AL$34)</f>
        <v>0</v>
      </c>
      <c r="AO34" s="20">
        <f ca="1">+'TUSD BE'!$T$34+'TUSD BE'!$AB$34+'TUSD BE'!$AD$34+'TUSD BE'!$AL$34</f>
        <v>615.41740176765848</v>
      </c>
      <c r="AP34" s="20">
        <f ca="1">+'TUSD BE'!$T$34+'TUSD BE'!$AB$34+'TUSD BE'!$AD$34+'TUSD BE'!$AL$34</f>
        <v>615.41740176765848</v>
      </c>
    </row>
    <row r="35" spans="1:42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>
        <f>'TUSD BE'!$L$35*'TUSD BF'!$L$58</f>
        <v>0</v>
      </c>
      <c r="M35" s="12">
        <f>'TUSD BE'!$M$35*'TUSD BF'!$M$58</f>
        <v>0</v>
      </c>
      <c r="N35" s="12">
        <f ca="1">'TUSD BE'!$N$35*'TUSD BF'!$N$58</f>
        <v>0</v>
      </c>
      <c r="O35" s="12">
        <f>'TUSD BE'!$O$35*'TUSD BF'!$O$58</f>
        <v>0</v>
      </c>
      <c r="P35" s="12">
        <f>'TUSD BE'!$P$35*'TUSD BF'!$P$58</f>
        <v>0</v>
      </c>
      <c r="Q35" s="12">
        <f>'TUSD BE'!$Q$35*'TUSD BF'!$Q$58</f>
        <v>0</v>
      </c>
      <c r="R35" s="12">
        <f>'TUSD BE'!$R$35*'TUSD BF'!$R$58</f>
        <v>0</v>
      </c>
      <c r="S35" s="12">
        <f>'TUSD BE'!$R$35*'TUSD BF'!$S$58</f>
        <v>0</v>
      </c>
      <c r="T35" s="12">
        <f ca="1">SUM($L$35:$S$35)</f>
        <v>0</v>
      </c>
      <c r="U35" s="12">
        <f>'TUSD BE'!$U$35*'TUSD BF'!$U$58</f>
        <v>0</v>
      </c>
      <c r="V35" s="12">
        <f>'TUSD BE'!$V$35*'TUSD BF'!$V$58</f>
        <v>0</v>
      </c>
      <c r="W35" s="12">
        <f>'TUSD BE'!$W$35*'TUSD BF'!$W$58</f>
        <v>0</v>
      </c>
      <c r="X35" s="12">
        <f>'TUSD BE'!$X$35*'TUSD BF'!$X$58</f>
        <v>0</v>
      </c>
      <c r="Y35" s="12">
        <f>'TUSD BE'!$Y$35*'TUSD BF'!$Y$58</f>
        <v>0</v>
      </c>
      <c r="Z35" s="12">
        <f>'TUSD BE'!$Z$35*'TUSD BF'!$Z$58</f>
        <v>0</v>
      </c>
      <c r="AA35" s="12">
        <f>'TUSD BE'!$AA$35*'TUSD BF'!$AA$58</f>
        <v>0</v>
      </c>
      <c r="AB35" s="12">
        <f>SUM($U$35:$AA$35)</f>
        <v>0</v>
      </c>
      <c r="AC35" s="12">
        <f>'TUSD BE'!$AC$35*'TUSD BF'!$AC$58</f>
        <v>0</v>
      </c>
      <c r="AD35" s="12">
        <f>SUM($AC$35:$AC$35)</f>
        <v>0</v>
      </c>
      <c r="AE35" s="12">
        <f ca="1">$AO$35*$AO$55</f>
        <v>0</v>
      </c>
      <c r="AF35" s="12">
        <f ca="1">$AP$35*$AP$55</f>
        <v>0</v>
      </c>
      <c r="AG35" s="12">
        <f ca="1">SUM($AE$35:$AF$35)</f>
        <v>0</v>
      </c>
      <c r="AH35" s="12">
        <f>'TUSD BE'!$AH$35*'TUSD BF'!$AH$58</f>
        <v>0</v>
      </c>
      <c r="AI35" s="12">
        <f>'TUSD BE'!$AI$35*'TUSD BF'!$AI$58</f>
        <v>0</v>
      </c>
      <c r="AJ35" s="12">
        <f ca="1">'TUSD BE'!$AJ$35*'TUSD BF'!$AJ$58</f>
        <v>0</v>
      </c>
      <c r="AK35" s="12">
        <f ca="1">'TUSD BE'!$AK$35*'TUSD BF'!$AK$58</f>
        <v>0</v>
      </c>
      <c r="AL35" s="12">
        <f ca="1">SUM($AH$35:$AK$35)</f>
        <v>0</v>
      </c>
      <c r="AM35" s="12">
        <f ca="1">SUMIF($L$4:$AL$4,"SUBTOTAL",$L$35:$AL$35)</f>
        <v>0</v>
      </c>
      <c r="AO35" s="20">
        <f ca="1">+'TUSD BE'!$T$35+'TUSD BE'!$AB$35+'TUSD BE'!$AD$35+'TUSD BE'!$AL$35</f>
        <v>416.45156612458635</v>
      </c>
      <c r="AP35" s="20">
        <f ca="1">+'TUSD BE'!$T$35+'TUSD BE'!$AB$35+'TUSD BE'!$AD$35+'TUSD BE'!$AL$35</f>
        <v>416.45156612458635</v>
      </c>
    </row>
    <row r="36" spans="1:42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>
        <f>'TUSD BE'!$L$36*'TUSD BF'!$L$58</f>
        <v>0</v>
      </c>
      <c r="M36" s="12">
        <f>'TUSD BE'!$M$36*'TUSD BF'!$M$58</f>
        <v>0</v>
      </c>
      <c r="N36" s="12">
        <f ca="1">'TUSD BE'!$N$36*'TUSD BF'!$N$58</f>
        <v>0</v>
      </c>
      <c r="O36" s="12">
        <f>'TUSD BE'!$O$36*'TUSD BF'!$O$58</f>
        <v>0</v>
      </c>
      <c r="P36" s="12">
        <f>'TUSD BE'!$P$36*'TUSD BF'!$P$58</f>
        <v>0</v>
      </c>
      <c r="Q36" s="12">
        <f>'TUSD BE'!$Q$36*'TUSD BF'!$Q$58</f>
        <v>0</v>
      </c>
      <c r="R36" s="12">
        <f>'TUSD BE'!$R$36*'TUSD BF'!$R$58</f>
        <v>0</v>
      </c>
      <c r="S36" s="12">
        <f>'TUSD BE'!$R$36*'TUSD BF'!$S$58</f>
        <v>0</v>
      </c>
      <c r="T36" s="12">
        <f ca="1">SUM($L$36:$S$36)</f>
        <v>0</v>
      </c>
      <c r="U36" s="12">
        <f>'TUSD BE'!$U$36*'TUSD BF'!$U$58</f>
        <v>0</v>
      </c>
      <c r="V36" s="12">
        <f>'TUSD BE'!$V$36*'TUSD BF'!$V$58</f>
        <v>0</v>
      </c>
      <c r="W36" s="12">
        <f>'TUSD BE'!$W$36*'TUSD BF'!$W$58</f>
        <v>0</v>
      </c>
      <c r="X36" s="12">
        <f>'TUSD BE'!$X$36*'TUSD BF'!$X$58</f>
        <v>0</v>
      </c>
      <c r="Y36" s="12">
        <f>'TUSD BE'!$Y$36*'TUSD BF'!$Y$58</f>
        <v>0</v>
      </c>
      <c r="Z36" s="12">
        <f>'TUSD BE'!$Z$36*'TUSD BF'!$Z$58</f>
        <v>0</v>
      </c>
      <c r="AA36" s="12">
        <f>'TUSD BE'!$AA$36*'TUSD BF'!$AA$58</f>
        <v>0</v>
      </c>
      <c r="AB36" s="12">
        <f>SUM($U$36:$AA$36)</f>
        <v>0</v>
      </c>
      <c r="AC36" s="12">
        <f>'TUSD BE'!$AC$36*'TUSD BF'!$AC$58</f>
        <v>0</v>
      </c>
      <c r="AD36" s="12">
        <f>SUM($AC$36:$AC$36)</f>
        <v>0</v>
      </c>
      <c r="AE36" s="12">
        <f ca="1">$AO$36*$AO$55</f>
        <v>0</v>
      </c>
      <c r="AF36" s="12">
        <f ca="1">$AP$36*$AP$55</f>
        <v>0</v>
      </c>
      <c r="AG36" s="12">
        <f ca="1">SUM($AE$36:$AF$36)</f>
        <v>0</v>
      </c>
      <c r="AH36" s="12">
        <f>'TUSD BE'!$AH$36*'TUSD BF'!$AH$58</f>
        <v>0</v>
      </c>
      <c r="AI36" s="12">
        <f>'TUSD BE'!$AI$36*'TUSD BF'!$AI$58</f>
        <v>0</v>
      </c>
      <c r="AJ36" s="12">
        <f ca="1">'TUSD BE'!$AJ$36*'TUSD BF'!$AJ$58</f>
        <v>0</v>
      </c>
      <c r="AK36" s="12">
        <f ca="1">'TUSD BE'!$AK$36*'TUSD BF'!$AK$58</f>
        <v>0</v>
      </c>
      <c r="AL36" s="12">
        <f ca="1">SUM($AH$36:$AK$36)</f>
        <v>0</v>
      </c>
      <c r="AM36" s="12">
        <f ca="1">SUMIF($L$4:$AL$4,"SUBTOTAL",$L$36:$AL$36)</f>
        <v>0</v>
      </c>
      <c r="AO36" s="20">
        <f ca="1">+'TUSD BE'!$T$36+'TUSD BE'!$AB$36+'TUSD BE'!$AD$36+'TUSD BE'!$AL$36</f>
        <v>217.53247505249126</v>
      </c>
      <c r="AP36" s="20">
        <f ca="1">+'TUSD BE'!$T$36+'TUSD BE'!$AB$36+'TUSD BE'!$AD$36+'TUSD BE'!$AL$36</f>
        <v>217.53247505249126</v>
      </c>
    </row>
    <row r="37" spans="1:42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>
        <f>'TUSD BE'!$L$37*'TUSD BF'!$L$58</f>
        <v>0</v>
      </c>
      <c r="M37" s="12">
        <f>'TUSD BE'!$M$37*'TUSD BF'!$M$58</f>
        <v>0</v>
      </c>
      <c r="N37" s="12">
        <f ca="1">'TUSD BE'!$N$37*'TUSD BF'!$N$58</f>
        <v>0</v>
      </c>
      <c r="O37" s="12">
        <f>'TUSD BE'!$O$37*'TUSD BF'!$O$58</f>
        <v>0</v>
      </c>
      <c r="P37" s="12">
        <f>'TUSD BE'!$P$37*'TUSD BF'!$P$58</f>
        <v>0</v>
      </c>
      <c r="Q37" s="12">
        <f>'TUSD BE'!$Q$37*'TUSD BF'!$Q$58</f>
        <v>0</v>
      </c>
      <c r="R37" s="12">
        <f>'TUSD BE'!$R$37*'TUSD BF'!$R$58</f>
        <v>0</v>
      </c>
      <c r="S37" s="12">
        <f>'TUSD BE'!$R$37*'TUSD BF'!$S$58</f>
        <v>0</v>
      </c>
      <c r="T37" s="12">
        <f ca="1">SUM($L$37:$S$37)</f>
        <v>0</v>
      </c>
      <c r="U37" s="12">
        <f>'TUSD BE'!$U$37*'TUSD BF'!$U$58</f>
        <v>0</v>
      </c>
      <c r="V37" s="12">
        <f>'TUSD BE'!$V$37*'TUSD BF'!$V$58</f>
        <v>0</v>
      </c>
      <c r="W37" s="12">
        <f>'TUSD BE'!$W$37*'TUSD BF'!$W$58</f>
        <v>0</v>
      </c>
      <c r="X37" s="12">
        <f>'TUSD BE'!$X$37*'TUSD BF'!$X$58</f>
        <v>0</v>
      </c>
      <c r="Y37" s="12">
        <f>'TUSD BE'!$Y$37*'TUSD BF'!$Y$58</f>
        <v>0</v>
      </c>
      <c r="Z37" s="12">
        <f>'TUSD BE'!$Z$37*'TUSD BF'!$Z$58</f>
        <v>0</v>
      </c>
      <c r="AA37" s="12">
        <f>'TUSD BE'!$AA$37*'TUSD BF'!$AA$58</f>
        <v>0</v>
      </c>
      <c r="AB37" s="12">
        <f>SUM($U$37:$AA$37)</f>
        <v>0</v>
      </c>
      <c r="AC37" s="12">
        <f>'TUSD BE'!$AC$37*'TUSD BF'!$AC$58</f>
        <v>0</v>
      </c>
      <c r="AD37" s="12">
        <f>SUM($AC$37:$AC$37)</f>
        <v>0</v>
      </c>
      <c r="AE37" s="12">
        <f ca="1">$AO$37*$AO$55</f>
        <v>0</v>
      </c>
      <c r="AF37" s="12">
        <f ca="1">$AP$37*$AP$55</f>
        <v>0</v>
      </c>
      <c r="AG37" s="12">
        <f ca="1">SUM($AE$37:$AF$37)</f>
        <v>0</v>
      </c>
      <c r="AH37" s="12">
        <f>'TUSD BE'!$AH$37*'TUSD BF'!$AH$58</f>
        <v>0</v>
      </c>
      <c r="AI37" s="12">
        <f>'TUSD BE'!$AI$37*'TUSD BF'!$AI$58</f>
        <v>0</v>
      </c>
      <c r="AJ37" s="12">
        <f ca="1">'TUSD BE'!$AJ$37*'TUSD BF'!$AJ$58</f>
        <v>0</v>
      </c>
      <c r="AK37" s="12">
        <f ca="1">'TUSD BE'!$AK$37*'TUSD BF'!$AK$58</f>
        <v>0</v>
      </c>
      <c r="AL37" s="12">
        <f ca="1">SUM($AH$37:$AK$37)</f>
        <v>0</v>
      </c>
      <c r="AM37" s="12">
        <f ca="1">SUMIF($L$4:$AL$4,"SUBTOTAL",$L$37:$AL$37)</f>
        <v>0</v>
      </c>
      <c r="AO37" s="20">
        <f ca="1">+'TUSD BE'!$T$37+'TUSD BE'!$AB$37+'TUSD BE'!$AD$37+'TUSD BE'!$AL$37</f>
        <v>286.65487068141226</v>
      </c>
      <c r="AP37" s="20">
        <f ca="1">+'TUSD BE'!$T$37+'TUSD BE'!$AB$37+'TUSD BE'!$AD$37+'TUSD BE'!$AL$37</f>
        <v>286.65487068141226</v>
      </c>
    </row>
    <row r="38" spans="1:42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>
        <f>'TUSD BE'!$L$38*'TUSD BF'!$L$58</f>
        <v>0</v>
      </c>
      <c r="M38" s="12">
        <f>'TUSD BE'!$M$38*'TUSD BF'!$M$58</f>
        <v>0</v>
      </c>
      <c r="N38" s="12">
        <f ca="1">'TUSD BE'!$N$38*'TUSD BF'!$N$58</f>
        <v>0</v>
      </c>
      <c r="O38" s="12">
        <f>'TUSD BE'!$O$38*'TUSD BF'!$O$58</f>
        <v>0</v>
      </c>
      <c r="P38" s="12">
        <f>'TUSD BE'!$P$38*'TUSD BF'!$P$58</f>
        <v>0</v>
      </c>
      <c r="Q38" s="12">
        <f>'TUSD BE'!$Q$38*'TUSD BF'!$Q$58</f>
        <v>0</v>
      </c>
      <c r="R38" s="12">
        <f>'TUSD BE'!$R$38*'TUSD BF'!$R$58</f>
        <v>0</v>
      </c>
      <c r="S38" s="12">
        <f>'TUSD BE'!$R$38*'TUSD BF'!$S$58</f>
        <v>0</v>
      </c>
      <c r="T38" s="12">
        <f ca="1">SUM($L$38:$S$38)</f>
        <v>0</v>
      </c>
      <c r="U38" s="12">
        <f>'TUSD BE'!$U$38*'TUSD BF'!$U$58</f>
        <v>0</v>
      </c>
      <c r="V38" s="12">
        <f>'TUSD BE'!$V$38*'TUSD BF'!$V$58</f>
        <v>0</v>
      </c>
      <c r="W38" s="12">
        <f>'TUSD BE'!$W$38*'TUSD BF'!$W$58</f>
        <v>0</v>
      </c>
      <c r="X38" s="12">
        <f>'TUSD BE'!$X$38*'TUSD BF'!$X$58</f>
        <v>0</v>
      </c>
      <c r="Y38" s="12">
        <f>'TUSD BE'!$Y$38*'TUSD BF'!$Y$58</f>
        <v>0</v>
      </c>
      <c r="Z38" s="12">
        <f>'TUSD BE'!$Z$38*'TUSD BF'!$Z$58</f>
        <v>0</v>
      </c>
      <c r="AA38" s="12">
        <f>'TUSD BE'!$AA$38*'TUSD BF'!$AA$58</f>
        <v>0</v>
      </c>
      <c r="AB38" s="12">
        <f>SUM($U$38:$AA$38)</f>
        <v>0</v>
      </c>
      <c r="AC38" s="12">
        <f>'TUSD BE'!$AC$38*'TUSD BF'!$AC$58</f>
        <v>0</v>
      </c>
      <c r="AD38" s="12">
        <f>SUM($AC$38:$AC$38)</f>
        <v>0</v>
      </c>
      <c r="AE38" s="12">
        <f ca="1">$AO$38*$AO$55</f>
        <v>0</v>
      </c>
      <c r="AF38" s="12">
        <f ca="1">$AP$38*$AP$55</f>
        <v>0</v>
      </c>
      <c r="AG38" s="12">
        <f ca="1">SUM($AE$38:$AF$38)</f>
        <v>0</v>
      </c>
      <c r="AH38" s="12">
        <f>'TUSD BE'!$AH$38*'TUSD BF'!$AH$58</f>
        <v>0</v>
      </c>
      <c r="AI38" s="12">
        <f>'TUSD BE'!$AI$38*'TUSD BF'!$AI$58</f>
        <v>0</v>
      </c>
      <c r="AJ38" s="12">
        <f ca="1">'TUSD BE'!$AJ$38*'TUSD BF'!$AJ$58</f>
        <v>0</v>
      </c>
      <c r="AK38" s="12">
        <f ca="1">'TUSD BE'!$AK$38*'TUSD BF'!$AK$58</f>
        <v>0</v>
      </c>
      <c r="AL38" s="12">
        <f ca="1">SUM($AH$38:$AK$38)</f>
        <v>0</v>
      </c>
      <c r="AM38" s="12">
        <f ca="1">SUMIF($L$4:$AL$4,"SUBTOTAL",$L$38:$AL$38)</f>
        <v>0</v>
      </c>
      <c r="AO38" s="20">
        <f ca="1">+'TUSD BE'!$T$38+'TUSD BE'!$AB$38+'TUSD BE'!$AD$38+'TUSD BE'!$AL$38</f>
        <v>615.41740176765848</v>
      </c>
      <c r="AP38" s="20">
        <f ca="1">+'TUSD BE'!$T$38+'TUSD BE'!$AB$38+'TUSD BE'!$AD$38+'TUSD BE'!$AL$38</f>
        <v>615.41740176765848</v>
      </c>
    </row>
    <row r="39" spans="1:42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>
        <f>'TUSD BE'!$L$39*'TUSD BF'!$L$58</f>
        <v>0</v>
      </c>
      <c r="M39" s="12">
        <f>'TUSD BE'!$M$39*'TUSD BF'!$M$58</f>
        <v>0</v>
      </c>
      <c r="N39" s="12">
        <f ca="1">'TUSD BE'!$N$39*'TUSD BF'!$N$58</f>
        <v>0</v>
      </c>
      <c r="O39" s="12">
        <f>'TUSD BE'!$O$39*'TUSD BF'!$O$58</f>
        <v>0</v>
      </c>
      <c r="P39" s="12">
        <f>'TUSD BE'!$P$39*'TUSD BF'!$P$58</f>
        <v>0</v>
      </c>
      <c r="Q39" s="12">
        <f>'TUSD BE'!$Q$39*'TUSD BF'!$Q$58</f>
        <v>0</v>
      </c>
      <c r="R39" s="12">
        <f>'TUSD BE'!$R$39*'TUSD BF'!$R$58</f>
        <v>0</v>
      </c>
      <c r="S39" s="12">
        <f>'TUSD BE'!$R$39*'TUSD BF'!$S$58</f>
        <v>0</v>
      </c>
      <c r="T39" s="12">
        <f ca="1">SUM($L$39:$S$39)</f>
        <v>0</v>
      </c>
      <c r="U39" s="12">
        <f>'TUSD BE'!$U$39*'TUSD BF'!$U$58</f>
        <v>0</v>
      </c>
      <c r="V39" s="12">
        <f>'TUSD BE'!$V$39*'TUSD BF'!$V$58</f>
        <v>0</v>
      </c>
      <c r="W39" s="12">
        <f>'TUSD BE'!$W$39*'TUSD BF'!$W$58</f>
        <v>0</v>
      </c>
      <c r="X39" s="12">
        <f>'TUSD BE'!$X$39*'TUSD BF'!$X$58</f>
        <v>0</v>
      </c>
      <c r="Y39" s="12">
        <f>'TUSD BE'!$Y$39*'TUSD BF'!$Y$58</f>
        <v>0</v>
      </c>
      <c r="Z39" s="12">
        <f>'TUSD BE'!$Z$39*'TUSD BF'!$Z$58</f>
        <v>0</v>
      </c>
      <c r="AA39" s="12">
        <f>'TUSD BE'!$AA$39*'TUSD BF'!$AA$58</f>
        <v>0</v>
      </c>
      <c r="AB39" s="12">
        <f>SUM($U$39:$AA$39)</f>
        <v>0</v>
      </c>
      <c r="AC39" s="12">
        <f>'TUSD BE'!$AC$39*'TUSD BF'!$AC$58</f>
        <v>0</v>
      </c>
      <c r="AD39" s="12">
        <f>SUM($AC$39:$AC$39)</f>
        <v>0</v>
      </c>
      <c r="AE39" s="12">
        <f ca="1">$AO$39*$AO$55</f>
        <v>0</v>
      </c>
      <c r="AF39" s="12">
        <f ca="1">$AP$39*$AP$55</f>
        <v>0</v>
      </c>
      <c r="AG39" s="12">
        <f ca="1">SUM($AE$39:$AF$39)</f>
        <v>0</v>
      </c>
      <c r="AH39" s="12">
        <f>'TUSD BE'!$AH$39*'TUSD BF'!$AH$58</f>
        <v>0</v>
      </c>
      <c r="AI39" s="12">
        <f>'TUSD BE'!$AI$39*'TUSD BF'!$AI$58</f>
        <v>0</v>
      </c>
      <c r="AJ39" s="12">
        <f ca="1">'TUSD BE'!$AJ$39*'TUSD BF'!$AJ$58</f>
        <v>0</v>
      </c>
      <c r="AK39" s="12">
        <f ca="1">'TUSD BE'!$AK$39*'TUSD BF'!$AK$58</f>
        <v>0</v>
      </c>
      <c r="AL39" s="12">
        <f ca="1">SUM($AH$39:$AK$39)</f>
        <v>0</v>
      </c>
      <c r="AM39" s="12">
        <f ca="1">SUMIF($L$4:$AL$4,"SUBTOTAL",$L$39:$AL$39)</f>
        <v>0</v>
      </c>
      <c r="AO39" s="20">
        <f ca="1">+'TUSD BE'!$T$39+'TUSD BE'!$AB$39+'TUSD BE'!$AD$39+'TUSD BE'!$AL$39</f>
        <v>416.45156612458635</v>
      </c>
      <c r="AP39" s="20">
        <f ca="1">+'TUSD BE'!$T$39+'TUSD BE'!$AB$39+'TUSD BE'!$AD$39+'TUSD BE'!$AL$39</f>
        <v>416.45156612458635</v>
      </c>
    </row>
    <row r="40" spans="1:42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>
        <f>'TUSD BE'!$L$40*'TUSD BF'!$L$58</f>
        <v>0</v>
      </c>
      <c r="M40" s="12">
        <f>'TUSD BE'!$M$40*'TUSD BF'!$M$58</f>
        <v>0</v>
      </c>
      <c r="N40" s="12">
        <f ca="1">'TUSD BE'!$N$40*'TUSD BF'!$N$58</f>
        <v>0</v>
      </c>
      <c r="O40" s="12">
        <f>'TUSD BE'!$O$40*'TUSD BF'!$O$58</f>
        <v>0</v>
      </c>
      <c r="P40" s="12">
        <f>'TUSD BE'!$P$40*'TUSD BF'!$P$58</f>
        <v>0</v>
      </c>
      <c r="Q40" s="12">
        <f>'TUSD BE'!$Q$40*'TUSD BF'!$Q$58</f>
        <v>0</v>
      </c>
      <c r="R40" s="12">
        <f>'TUSD BE'!$R$40*'TUSD BF'!$R$58</f>
        <v>0</v>
      </c>
      <c r="S40" s="12">
        <f>'TUSD BE'!$R$40*'TUSD BF'!$S$58</f>
        <v>0</v>
      </c>
      <c r="T40" s="12">
        <f ca="1">SUM($L$40:$S$40)</f>
        <v>0</v>
      </c>
      <c r="U40" s="12">
        <f>'TUSD BE'!$U$40*'TUSD BF'!$U$58</f>
        <v>0</v>
      </c>
      <c r="V40" s="12">
        <f>'TUSD BE'!$V$40*'TUSD BF'!$V$58</f>
        <v>0</v>
      </c>
      <c r="W40" s="12">
        <f>'TUSD BE'!$W$40*'TUSD BF'!$W$58</f>
        <v>0</v>
      </c>
      <c r="X40" s="12">
        <f>'TUSD BE'!$X$40*'TUSD BF'!$X$58</f>
        <v>0</v>
      </c>
      <c r="Y40" s="12">
        <f>'TUSD BE'!$Y$40*'TUSD BF'!$Y$58</f>
        <v>0</v>
      </c>
      <c r="Z40" s="12">
        <f>'TUSD BE'!$Z$40*'TUSD BF'!$Z$58</f>
        <v>0</v>
      </c>
      <c r="AA40" s="12">
        <f>'TUSD BE'!$AA$40*'TUSD BF'!$AA$58</f>
        <v>0</v>
      </c>
      <c r="AB40" s="12">
        <f>SUM($U$40:$AA$40)</f>
        <v>0</v>
      </c>
      <c r="AC40" s="12">
        <f>'TUSD BE'!$AC$40*'TUSD BF'!$AC$58</f>
        <v>0</v>
      </c>
      <c r="AD40" s="12">
        <f>SUM($AC$40:$AC$40)</f>
        <v>0</v>
      </c>
      <c r="AE40" s="12">
        <f ca="1">$AO$40*$AO$55</f>
        <v>0</v>
      </c>
      <c r="AF40" s="12">
        <f ca="1">$AP$40*$AP$55</f>
        <v>0</v>
      </c>
      <c r="AG40" s="12">
        <f ca="1">SUM($AE$40:$AF$40)</f>
        <v>0</v>
      </c>
      <c r="AH40" s="12">
        <f>'TUSD BE'!$AH$40*'TUSD BF'!$AH$58</f>
        <v>0</v>
      </c>
      <c r="AI40" s="12">
        <f>'TUSD BE'!$AI$40*'TUSD BF'!$AI$58</f>
        <v>0</v>
      </c>
      <c r="AJ40" s="12">
        <f ca="1">'TUSD BE'!$AJ$40*'TUSD BF'!$AJ$58</f>
        <v>0</v>
      </c>
      <c r="AK40" s="12">
        <f ca="1">'TUSD BE'!$AK$40*'TUSD BF'!$AK$58</f>
        <v>0</v>
      </c>
      <c r="AL40" s="12">
        <f ca="1">SUM($AH$40:$AK$40)</f>
        <v>0</v>
      </c>
      <c r="AM40" s="12">
        <f ca="1">SUMIF($L$4:$AL$4,"SUBTOTAL",$L$40:$AL$40)</f>
        <v>0</v>
      </c>
      <c r="AO40" s="20">
        <f ca="1">+'TUSD BE'!$T$40+'TUSD BE'!$AB$40+'TUSD BE'!$AD$40+'TUSD BE'!$AL$40</f>
        <v>217.53247505249126</v>
      </c>
      <c r="AP40" s="20">
        <f ca="1">+'TUSD BE'!$T$40+'TUSD BE'!$AB$40+'TUSD BE'!$AD$40+'TUSD BE'!$AL$40</f>
        <v>217.53247505249126</v>
      </c>
    </row>
    <row r="41" spans="1:42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>
        <f>'TUSD BE'!$L$41*'TUSD BF'!$L$58</f>
        <v>0</v>
      </c>
      <c r="M41" s="12">
        <f>'TUSD BE'!$M$41*'TUSD BF'!$M$58</f>
        <v>0</v>
      </c>
      <c r="N41" s="12">
        <f ca="1">'TUSD BE'!$N$41*'TUSD BF'!$N$58</f>
        <v>0</v>
      </c>
      <c r="O41" s="12">
        <f>'TUSD BE'!$O$41*'TUSD BF'!$O$58</f>
        <v>0</v>
      </c>
      <c r="P41" s="12">
        <f>'TUSD BE'!$P$41*'TUSD BF'!$P$58</f>
        <v>0</v>
      </c>
      <c r="Q41" s="12">
        <f>'TUSD BE'!$Q$41*'TUSD BF'!$Q$58</f>
        <v>0</v>
      </c>
      <c r="R41" s="12">
        <f>'TUSD BE'!$R$41*'TUSD BF'!$R$58</f>
        <v>0</v>
      </c>
      <c r="S41" s="12">
        <f>'TUSD BE'!$R$41*'TUSD BF'!$S$58</f>
        <v>0</v>
      </c>
      <c r="T41" s="12">
        <f ca="1">SUM($L$41:$S$41)</f>
        <v>0</v>
      </c>
      <c r="U41" s="12">
        <f>'TUSD BE'!$U$41*'TUSD BF'!$U$58</f>
        <v>0</v>
      </c>
      <c r="V41" s="12">
        <f>'TUSD BE'!$V$41*'TUSD BF'!$V$58</f>
        <v>0</v>
      </c>
      <c r="W41" s="12">
        <f>'TUSD BE'!$W$41*'TUSD BF'!$W$58</f>
        <v>0</v>
      </c>
      <c r="X41" s="12">
        <f>'TUSD BE'!$X$41*'TUSD BF'!$X$58</f>
        <v>0</v>
      </c>
      <c r="Y41" s="12">
        <f>'TUSD BE'!$Y$41*'TUSD BF'!$Y$58</f>
        <v>0</v>
      </c>
      <c r="Z41" s="12">
        <f>'TUSD BE'!$Z$41*'TUSD BF'!$Z$58</f>
        <v>0</v>
      </c>
      <c r="AA41" s="12">
        <f>'TUSD BE'!$AA$41*'TUSD BF'!$AA$58</f>
        <v>0</v>
      </c>
      <c r="AB41" s="12">
        <f>SUM($U$41:$AA$41)</f>
        <v>0</v>
      </c>
      <c r="AC41" s="12">
        <f>'TUSD BE'!$AC$41*'TUSD BF'!$AC$58</f>
        <v>0</v>
      </c>
      <c r="AD41" s="12">
        <f>SUM($AC$41:$AC$41)</f>
        <v>0</v>
      </c>
      <c r="AE41" s="12">
        <f ca="1">$AO$41*$AO$55</f>
        <v>0</v>
      </c>
      <c r="AF41" s="12">
        <f ca="1">$AP$41*$AP$55</f>
        <v>0</v>
      </c>
      <c r="AG41" s="12">
        <f ca="1">SUM($AE$41:$AF$41)</f>
        <v>0</v>
      </c>
      <c r="AH41" s="12">
        <f>'TUSD BE'!$AH$41*'TUSD BF'!$AH$58</f>
        <v>0</v>
      </c>
      <c r="AI41" s="12">
        <f>'TUSD BE'!$AI$41*'TUSD BF'!$AI$58</f>
        <v>0</v>
      </c>
      <c r="AJ41" s="12">
        <f ca="1">'TUSD BE'!$AJ$41*'TUSD BF'!$AJ$58</f>
        <v>0</v>
      </c>
      <c r="AK41" s="12">
        <f ca="1">'TUSD BE'!$AK$41*'TUSD BF'!$AK$58</f>
        <v>0</v>
      </c>
      <c r="AL41" s="12">
        <f ca="1">SUM($AH$41:$AK$41)</f>
        <v>0</v>
      </c>
      <c r="AM41" s="12">
        <f ca="1">SUMIF($L$4:$AL$4,"SUBTOTAL",$L$41:$AL$41)</f>
        <v>0</v>
      </c>
      <c r="AO41" s="20">
        <f ca="1">+'TUSD BE'!$T$41+'TUSD BE'!$AB$41+'TUSD BE'!$AD$41+'TUSD BE'!$AL$41</f>
        <v>286.65487068141226</v>
      </c>
      <c r="AP41" s="20">
        <f ca="1">+'TUSD BE'!$T$41+'TUSD BE'!$AB$41+'TUSD BE'!$AD$41+'TUSD BE'!$AL$41</f>
        <v>286.65487068141226</v>
      </c>
    </row>
    <row r="42" spans="1:42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>
        <f>'TUSD BE'!$L$42*'TUSD BF'!$L$58</f>
        <v>0</v>
      </c>
      <c r="M42" s="12">
        <f>'TUSD BE'!$M$42*'TUSD BF'!$M$58</f>
        <v>0</v>
      </c>
      <c r="N42" s="12">
        <f ca="1">'TUSD BE'!$N$42*'TUSD BF'!$N$58</f>
        <v>0</v>
      </c>
      <c r="O42" s="12">
        <f>'TUSD BE'!$O$42*'TUSD BF'!$O$58</f>
        <v>0</v>
      </c>
      <c r="P42" s="12">
        <f>'TUSD BE'!$P$42*'TUSD BF'!$P$58</f>
        <v>0</v>
      </c>
      <c r="Q42" s="12">
        <f>'TUSD BE'!$Q$42*'TUSD BF'!$Q$58</f>
        <v>0</v>
      </c>
      <c r="R42" s="12">
        <f>'TUSD BE'!$R$42*'TUSD BF'!$R$58</f>
        <v>0</v>
      </c>
      <c r="S42" s="12">
        <f>'TUSD BE'!$R$42*'TUSD BF'!$S$58</f>
        <v>0</v>
      </c>
      <c r="T42" s="12">
        <f ca="1">SUM($L$42:$S$42)</f>
        <v>0</v>
      </c>
      <c r="U42" s="12">
        <f>'TUSD BE'!$U$42*'TUSD BF'!$U$58</f>
        <v>0</v>
      </c>
      <c r="V42" s="12">
        <f>'TUSD BE'!$V$42*'TUSD BF'!$V$58</f>
        <v>0</v>
      </c>
      <c r="W42" s="12">
        <f>'TUSD BE'!$W$42*'TUSD BF'!$W$58</f>
        <v>0</v>
      </c>
      <c r="X42" s="12">
        <f>'TUSD BE'!$X$42*'TUSD BF'!$X$58</f>
        <v>0</v>
      </c>
      <c r="Y42" s="12">
        <f>'TUSD BE'!$Y$42*'TUSD BF'!$Y$58</f>
        <v>0</v>
      </c>
      <c r="Z42" s="12">
        <f>'TUSD BE'!$Z$42*'TUSD BF'!$Z$58</f>
        <v>0</v>
      </c>
      <c r="AA42" s="12">
        <f>'TUSD BE'!$AA$42*'TUSD BF'!$AA$58</f>
        <v>0</v>
      </c>
      <c r="AB42" s="12">
        <f>SUM($U$42:$AA$42)</f>
        <v>0</v>
      </c>
      <c r="AC42" s="12">
        <f>'TUSD BE'!$AC$42*'TUSD BF'!$AC$58</f>
        <v>0</v>
      </c>
      <c r="AD42" s="12">
        <f>SUM($AC$42:$AC$42)</f>
        <v>0</v>
      </c>
      <c r="AE42" s="12">
        <f ca="1">$AO$42*$AO$55</f>
        <v>0</v>
      </c>
      <c r="AF42" s="12">
        <f ca="1">$AP$42*$AP$55</f>
        <v>0</v>
      </c>
      <c r="AG42" s="12">
        <f ca="1">SUM($AE$42:$AF$42)</f>
        <v>0</v>
      </c>
      <c r="AH42" s="12">
        <f>'TUSD BE'!$AH$42*'TUSD BF'!$AH$58</f>
        <v>0</v>
      </c>
      <c r="AI42" s="12">
        <f>'TUSD BE'!$AI$42*'TUSD BF'!$AI$58</f>
        <v>0</v>
      </c>
      <c r="AJ42" s="12">
        <f ca="1">'TUSD BE'!$AJ$42*'TUSD BF'!$AJ$58</f>
        <v>0</v>
      </c>
      <c r="AK42" s="12">
        <f ca="1">'TUSD BE'!$AK$42*'TUSD BF'!$AK$58</f>
        <v>0</v>
      </c>
      <c r="AL42" s="12">
        <f ca="1">SUM($AH$42:$AK$42)</f>
        <v>0</v>
      </c>
      <c r="AM42" s="12">
        <f ca="1">SUMIF($L$4:$AL$4,"SUBTOTAL",$L$42:$AL$42)</f>
        <v>0</v>
      </c>
      <c r="AO42" s="20">
        <f ca="1">+'TUSD BE'!$T$42+'TUSD BE'!$AB$42+'TUSD BE'!$AD$42+'TUSD BE'!$AL$42</f>
        <v>286.65487068141226</v>
      </c>
      <c r="AP42" s="20">
        <f ca="1">+'TUSD BE'!$T$42+'TUSD BE'!$AB$42+'TUSD BE'!$AD$42+'TUSD BE'!$AL$42</f>
        <v>286.65487068141226</v>
      </c>
    </row>
    <row r="43" spans="1:42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>
        <f>'TUSD BE'!$L$43*'TUSD BF'!$L$58</f>
        <v>0</v>
      </c>
      <c r="M43" s="12">
        <f>'TUSD BE'!$M$43*'TUSD BF'!$M$58</f>
        <v>0</v>
      </c>
      <c r="N43" s="12">
        <f ca="1">'TUSD BE'!$N$43*'TUSD BF'!$N$58</f>
        <v>0</v>
      </c>
      <c r="O43" s="12">
        <f>'TUSD BE'!$O$43*'TUSD BF'!$O$58</f>
        <v>0</v>
      </c>
      <c r="P43" s="12">
        <f>'TUSD BE'!$P$43*'TUSD BF'!$P$58</f>
        <v>0</v>
      </c>
      <c r="Q43" s="12">
        <f>'TUSD BE'!$Q$43*'TUSD BF'!$Q$58</f>
        <v>0</v>
      </c>
      <c r="R43" s="12">
        <f>'TUSD BE'!$R$43*'TUSD BF'!$R$58</f>
        <v>0</v>
      </c>
      <c r="S43" s="12">
        <f>'TUSD BE'!$R$43*'TUSD BF'!$S$58</f>
        <v>0</v>
      </c>
      <c r="T43" s="12">
        <f ca="1">SUM($L$43:$S$43)</f>
        <v>0</v>
      </c>
      <c r="U43" s="12">
        <f>'TUSD BE'!$U$43*'TUSD BF'!$U$58</f>
        <v>0</v>
      </c>
      <c r="V43" s="12">
        <f>'TUSD BE'!$V$43*'TUSD BF'!$V$58</f>
        <v>0</v>
      </c>
      <c r="W43" s="12">
        <f>'TUSD BE'!$W$43*'TUSD BF'!$W$58</f>
        <v>0</v>
      </c>
      <c r="X43" s="12">
        <f>'TUSD BE'!$X$43*'TUSD BF'!$X$58</f>
        <v>0</v>
      </c>
      <c r="Y43" s="12">
        <f>'TUSD BE'!$Y$43*'TUSD BF'!$Y$58</f>
        <v>0</v>
      </c>
      <c r="Z43" s="12">
        <f>'TUSD BE'!$Z$43*'TUSD BF'!$Z$58</f>
        <v>0</v>
      </c>
      <c r="AA43" s="12">
        <f>'TUSD BE'!$AA$43*'TUSD BF'!$AA$58</f>
        <v>0</v>
      </c>
      <c r="AB43" s="12">
        <f>SUM($U$43:$AA$43)</f>
        <v>0</v>
      </c>
      <c r="AC43" s="12">
        <f>'TUSD BE'!$AC$43*'TUSD BF'!$AC$58</f>
        <v>0</v>
      </c>
      <c r="AD43" s="12">
        <f>SUM($AC$43:$AC$43)</f>
        <v>0</v>
      </c>
      <c r="AE43" s="12">
        <f ca="1">$AO$43*$AO$55</f>
        <v>0</v>
      </c>
      <c r="AF43" s="12">
        <f ca="1">$AP$43*$AP$55</f>
        <v>0</v>
      </c>
      <c r="AG43" s="12">
        <f ca="1">SUM($AE$43:$AF$43)</f>
        <v>0</v>
      </c>
      <c r="AH43" s="12">
        <f>'TUSD BE'!$AH$43*'TUSD BF'!$AH$58</f>
        <v>0</v>
      </c>
      <c r="AI43" s="12">
        <f>'TUSD BE'!$AI$43*'TUSD BF'!$AI$58</f>
        <v>0</v>
      </c>
      <c r="AJ43" s="12">
        <f ca="1">'TUSD BE'!$AJ$43*'TUSD BF'!$AJ$58</f>
        <v>0</v>
      </c>
      <c r="AK43" s="12">
        <f ca="1">'TUSD BE'!$AK$43*'TUSD BF'!$AK$58</f>
        <v>0</v>
      </c>
      <c r="AL43" s="12">
        <f ca="1">SUM($AH$43:$AK$43)</f>
        <v>0</v>
      </c>
      <c r="AM43" s="12">
        <f ca="1">SUMIF($L$4:$AL$4,"SUBTOTAL",$L$43:$AL$43)</f>
        <v>0</v>
      </c>
      <c r="AO43" s="20">
        <f ca="1">+'TUSD BE'!$T$43+'TUSD BE'!$AB$43+'TUSD BE'!$AD$43+'TUSD BE'!$AL$43</f>
        <v>286.65487068141226</v>
      </c>
      <c r="AP43" s="20">
        <f ca="1">+'TUSD BE'!$T$43+'TUSD BE'!$AB$43+'TUSD BE'!$AD$43+'TUSD BE'!$AL$43</f>
        <v>286.65487068141226</v>
      </c>
    </row>
    <row r="44" spans="1:42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>
        <f>'TUSD BE'!$L$44*'TUSD BF'!$L$58</f>
        <v>0</v>
      </c>
      <c r="M44" s="12">
        <f>'TUSD BE'!$M$44*'TUSD BF'!$M$58</f>
        <v>0</v>
      </c>
      <c r="N44" s="12">
        <f ca="1">'TUSD BE'!$N$44*'TUSD BF'!$N$58</f>
        <v>0</v>
      </c>
      <c r="O44" s="12">
        <f>'TUSD BE'!$O$44*'TUSD BF'!$O$58</f>
        <v>0</v>
      </c>
      <c r="P44" s="12">
        <f>'TUSD BE'!$P$44*'TUSD BF'!$P$58</f>
        <v>0</v>
      </c>
      <c r="Q44" s="12">
        <f>'TUSD BE'!$Q$44*'TUSD BF'!$Q$58</f>
        <v>0</v>
      </c>
      <c r="R44" s="12">
        <f>'TUSD BE'!$R$44*'TUSD BF'!$R$58</f>
        <v>0</v>
      </c>
      <c r="S44" s="12">
        <f>'TUSD BE'!$R$44*'TUSD BF'!$S$58</f>
        <v>0</v>
      </c>
      <c r="T44" s="12">
        <f ca="1">SUM($L$44:$S$44)</f>
        <v>0</v>
      </c>
      <c r="U44" s="12">
        <f>'TUSD BE'!$U$44*'TUSD BF'!$U$58</f>
        <v>0</v>
      </c>
      <c r="V44" s="12">
        <f>'TUSD BE'!$V$44*'TUSD BF'!$V$58</f>
        <v>0</v>
      </c>
      <c r="W44" s="12">
        <f>'TUSD BE'!$W$44*'TUSD BF'!$W$58</f>
        <v>0</v>
      </c>
      <c r="X44" s="12">
        <f>'TUSD BE'!$X$44*'TUSD BF'!$X$58</f>
        <v>0</v>
      </c>
      <c r="Y44" s="12">
        <f>'TUSD BE'!$Y$44*'TUSD BF'!$Y$58</f>
        <v>0</v>
      </c>
      <c r="Z44" s="12">
        <f>'TUSD BE'!$Z$44*'TUSD BF'!$Z$58</f>
        <v>0</v>
      </c>
      <c r="AA44" s="12">
        <f>'TUSD BE'!$AA$44*'TUSD BF'!$AA$58</f>
        <v>0</v>
      </c>
      <c r="AB44" s="12">
        <f>SUM($U$44:$AA$44)</f>
        <v>0</v>
      </c>
      <c r="AC44" s="12">
        <f>'TUSD BE'!$AC$44*'TUSD BF'!$AC$58</f>
        <v>0</v>
      </c>
      <c r="AD44" s="12">
        <f>SUM($AC$44:$AC$44)</f>
        <v>0</v>
      </c>
      <c r="AE44" s="12">
        <f ca="1">$AO$44*$AO$55</f>
        <v>0</v>
      </c>
      <c r="AF44" s="12">
        <f ca="1">$AP$44*$AP$55</f>
        <v>0</v>
      </c>
      <c r="AG44" s="12">
        <f ca="1">SUM($AE$44:$AF$44)</f>
        <v>0</v>
      </c>
      <c r="AH44" s="12">
        <f>'TUSD BE'!$AH$44*'TUSD BF'!$AH$58</f>
        <v>0</v>
      </c>
      <c r="AI44" s="12">
        <f>'TUSD BE'!$AI$44*'TUSD BF'!$AI$58</f>
        <v>0</v>
      </c>
      <c r="AJ44" s="12">
        <f ca="1">'TUSD BE'!$AJ$44*'TUSD BF'!$AJ$58</f>
        <v>0</v>
      </c>
      <c r="AK44" s="12">
        <f ca="1">'TUSD BE'!$AK$44*'TUSD BF'!$AK$58</f>
        <v>0</v>
      </c>
      <c r="AL44" s="12">
        <f ca="1">SUM($AH$44:$AK$44)</f>
        <v>0</v>
      </c>
      <c r="AM44" s="12">
        <f ca="1">SUMIF($L$4:$AL$4,"SUBTOTAL",$L$44:$AL$44)</f>
        <v>0</v>
      </c>
      <c r="AO44" s="20">
        <f ca="1">+'TUSD BE'!$T$44+'TUSD BE'!$AB$44+'TUSD BE'!$AD$44+'TUSD BE'!$AL$44</f>
        <v>286.65487068141226</v>
      </c>
      <c r="AP44" s="20">
        <f ca="1">+'TUSD BE'!$T$44+'TUSD BE'!$AB$44+'TUSD BE'!$AD$44+'TUSD BE'!$AL$44</f>
        <v>286.65487068141226</v>
      </c>
    </row>
    <row r="45" spans="1:42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>
        <f>'TUSD BE'!$L$45*'TUSD BF'!$L$58</f>
        <v>0</v>
      </c>
      <c r="M45" s="12">
        <f>'TUSD BE'!$M$45*'TUSD BF'!$M$58</f>
        <v>0</v>
      </c>
      <c r="N45" s="12">
        <f ca="1">'TUSD BE'!$N$45*'TUSD BF'!$N$58</f>
        <v>0</v>
      </c>
      <c r="O45" s="12">
        <f>'TUSD BE'!$O$45*'TUSD BF'!$O$58</f>
        <v>0</v>
      </c>
      <c r="P45" s="12">
        <f>'TUSD BE'!$P$45*'TUSD BF'!$P$58</f>
        <v>0</v>
      </c>
      <c r="Q45" s="12">
        <f>'TUSD BE'!$Q$45*'TUSD BF'!$Q$58</f>
        <v>0</v>
      </c>
      <c r="R45" s="12">
        <f>'TUSD BE'!$R$45*'TUSD BF'!$R$58</f>
        <v>0</v>
      </c>
      <c r="S45" s="12">
        <f>'TUSD BE'!$R$45*'TUSD BF'!$S$58</f>
        <v>0</v>
      </c>
      <c r="T45" s="12">
        <f ca="1">SUM($L$45:$S$45)</f>
        <v>0</v>
      </c>
      <c r="U45" s="12">
        <f>'TUSD BE'!$U$45*'TUSD BF'!$U$58</f>
        <v>0</v>
      </c>
      <c r="V45" s="12">
        <f>'TUSD BE'!$V$45*'TUSD BF'!$V$58</f>
        <v>0</v>
      </c>
      <c r="W45" s="12">
        <f>'TUSD BE'!$W$45*'TUSD BF'!$W$58</f>
        <v>0</v>
      </c>
      <c r="X45" s="12">
        <f>'TUSD BE'!$X$45*'TUSD BF'!$X$58</f>
        <v>0</v>
      </c>
      <c r="Y45" s="12">
        <f>'TUSD BE'!$Y$45*'TUSD BF'!$Y$58</f>
        <v>0</v>
      </c>
      <c r="Z45" s="12">
        <f>'TUSD BE'!$Z$45*'TUSD BF'!$Z$58</f>
        <v>0</v>
      </c>
      <c r="AA45" s="12">
        <f>'TUSD BE'!$AA$45*'TUSD BF'!$AA$58</f>
        <v>0</v>
      </c>
      <c r="AB45" s="12">
        <f>SUM($U$45:$AA$45)</f>
        <v>0</v>
      </c>
      <c r="AC45" s="12">
        <f>'TUSD BE'!$AC$45*'TUSD BF'!$AC$58</f>
        <v>0</v>
      </c>
      <c r="AD45" s="12">
        <f>SUM($AC$45:$AC$45)</f>
        <v>0</v>
      </c>
      <c r="AE45" s="12">
        <f ca="1">$AO$45*$AO$55</f>
        <v>0</v>
      </c>
      <c r="AF45" s="12">
        <f ca="1">$AP$45*$AP$55</f>
        <v>0</v>
      </c>
      <c r="AG45" s="12">
        <f ca="1">SUM($AE$45:$AF$45)</f>
        <v>0</v>
      </c>
      <c r="AH45" s="12">
        <f>'TUSD BE'!$AH$45*'TUSD BF'!$AH$58</f>
        <v>0</v>
      </c>
      <c r="AI45" s="12">
        <f>'TUSD BE'!$AI$45*'TUSD BF'!$AI$58</f>
        <v>0</v>
      </c>
      <c r="AJ45" s="12">
        <f ca="1">'TUSD BE'!$AJ$45*'TUSD BF'!$AJ$58</f>
        <v>0</v>
      </c>
      <c r="AK45" s="12">
        <f ca="1">'TUSD BE'!$AK$45*'TUSD BF'!$AK$58</f>
        <v>0</v>
      </c>
      <c r="AL45" s="12">
        <f ca="1">SUM($AH$45:$AK$45)</f>
        <v>0</v>
      </c>
      <c r="AM45" s="12">
        <f ca="1">SUMIF($L$4:$AL$4,"SUBTOTAL",$L$45:$AL$45)</f>
        <v>0</v>
      </c>
      <c r="AO45" s="20">
        <f ca="1">+'TUSD BE'!$T$45+'TUSD BE'!$AB$45+'TUSD BE'!$AD$45+'TUSD BE'!$AL$45</f>
        <v>691.27968814842325</v>
      </c>
      <c r="AP45" s="20">
        <f ca="1">+'TUSD BE'!$T$45+'TUSD BE'!$AB$45+'TUSD BE'!$AD$45+'TUSD BE'!$AL$45</f>
        <v>691.27968814842325</v>
      </c>
    </row>
    <row r="46" spans="1:42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>
        <f>'TUSD BE'!$L$46*'TUSD BF'!$L$58</f>
        <v>0</v>
      </c>
      <c r="M46" s="12">
        <f>'TUSD BE'!$M$46*'TUSD BF'!$M$58</f>
        <v>0</v>
      </c>
      <c r="N46" s="12">
        <f ca="1">'TUSD BE'!$N$46*'TUSD BF'!$N$58</f>
        <v>0</v>
      </c>
      <c r="O46" s="12">
        <f>'TUSD BE'!$O$46*'TUSD BF'!$O$58</f>
        <v>0</v>
      </c>
      <c r="P46" s="12">
        <f>'TUSD BE'!$P$46*'TUSD BF'!$P$58</f>
        <v>0</v>
      </c>
      <c r="Q46" s="12">
        <f>'TUSD BE'!$Q$46*'TUSD BF'!$Q$58</f>
        <v>0</v>
      </c>
      <c r="R46" s="12">
        <f>'TUSD BE'!$R$46*'TUSD BF'!$R$58</f>
        <v>0</v>
      </c>
      <c r="S46" s="12">
        <f>'TUSD BE'!$R$46*'TUSD BF'!$S$58</f>
        <v>0</v>
      </c>
      <c r="T46" s="12">
        <f ca="1">SUM($L$46:$S$46)</f>
        <v>0</v>
      </c>
      <c r="U46" s="12">
        <f>'TUSD BE'!$U$46*'TUSD BF'!$U$58</f>
        <v>0</v>
      </c>
      <c r="V46" s="12">
        <f>'TUSD BE'!$V$46*'TUSD BF'!$V$58</f>
        <v>0</v>
      </c>
      <c r="W46" s="12">
        <f>'TUSD BE'!$W$46*'TUSD BF'!$W$58</f>
        <v>0</v>
      </c>
      <c r="X46" s="12">
        <f>'TUSD BE'!$X$46*'TUSD BF'!$X$58</f>
        <v>0</v>
      </c>
      <c r="Y46" s="12">
        <f>'TUSD BE'!$Y$46*'TUSD BF'!$Y$58</f>
        <v>0</v>
      </c>
      <c r="Z46" s="12">
        <f>'TUSD BE'!$Z$46*'TUSD BF'!$Z$58</f>
        <v>0</v>
      </c>
      <c r="AA46" s="12">
        <f>'TUSD BE'!$AA$46*'TUSD BF'!$AA$58</f>
        <v>0</v>
      </c>
      <c r="AB46" s="12">
        <f>SUM($U$46:$AA$46)</f>
        <v>0</v>
      </c>
      <c r="AC46" s="12">
        <f>'TUSD BE'!$AC$46*'TUSD BF'!$AC$58</f>
        <v>0</v>
      </c>
      <c r="AD46" s="12">
        <f>SUM($AC$46:$AC$46)</f>
        <v>0</v>
      </c>
      <c r="AE46" s="12">
        <f ca="1">$AO$46*$AO$55</f>
        <v>0</v>
      </c>
      <c r="AF46" s="12">
        <f ca="1">$AP$46*$AP$55</f>
        <v>0</v>
      </c>
      <c r="AG46" s="12">
        <f ca="1">SUM($AE$46:$AF$46)</f>
        <v>0</v>
      </c>
      <c r="AH46" s="12">
        <f>'TUSD BE'!$AH$46*'TUSD BF'!$AH$58</f>
        <v>0</v>
      </c>
      <c r="AI46" s="12">
        <f>'TUSD BE'!$AI$46*'TUSD BF'!$AI$58</f>
        <v>0</v>
      </c>
      <c r="AJ46" s="12">
        <f ca="1">'TUSD BE'!$AJ$46*'TUSD BF'!$AJ$58</f>
        <v>0</v>
      </c>
      <c r="AK46" s="12">
        <f ca="1">'TUSD BE'!$AK$46*'TUSD BF'!$AK$58</f>
        <v>0</v>
      </c>
      <c r="AL46" s="12">
        <f ca="1">SUM($AH$46:$AK$46)</f>
        <v>0</v>
      </c>
      <c r="AM46" s="12">
        <f ca="1">SUMIF($L$4:$AL$4,"SUBTOTAL",$L$46:$AL$46)</f>
        <v>0</v>
      </c>
      <c r="AO46" s="20">
        <f ca="1">+'TUSD BE'!$T$46+'TUSD BE'!$AB$46+'TUSD BE'!$AD$46+'TUSD BE'!$AL$46</f>
        <v>461.98451201480424</v>
      </c>
      <c r="AP46" s="20">
        <f ca="1">+'TUSD BE'!$T$46+'TUSD BE'!$AB$46+'TUSD BE'!$AD$46+'TUSD BE'!$AL$46</f>
        <v>461.98451201480424</v>
      </c>
    </row>
    <row r="47" spans="1:42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>
        <f>'TUSD BE'!$L$47*'TUSD BF'!$L$58</f>
        <v>0</v>
      </c>
      <c r="M47" s="12">
        <f>'TUSD BE'!$M$47*'TUSD BF'!$M$58</f>
        <v>0</v>
      </c>
      <c r="N47" s="12">
        <f ca="1">'TUSD BE'!$N$47*'TUSD BF'!$N$58</f>
        <v>0</v>
      </c>
      <c r="O47" s="12">
        <f>'TUSD BE'!$O$47*'TUSD BF'!$O$58</f>
        <v>0</v>
      </c>
      <c r="P47" s="12">
        <f>'TUSD BE'!$P$47*'TUSD BF'!$P$58</f>
        <v>0</v>
      </c>
      <c r="Q47" s="12">
        <f>'TUSD BE'!$Q$47*'TUSD BF'!$Q$58</f>
        <v>0</v>
      </c>
      <c r="R47" s="12">
        <f>'TUSD BE'!$R$47*'TUSD BF'!$R$58</f>
        <v>0</v>
      </c>
      <c r="S47" s="12">
        <f>'TUSD BE'!$R$47*'TUSD BF'!$S$58</f>
        <v>0</v>
      </c>
      <c r="T47" s="12">
        <f ca="1">SUM($L$47:$S$47)</f>
        <v>0</v>
      </c>
      <c r="U47" s="12">
        <f>'TUSD BE'!$U$47*'TUSD BF'!$U$58</f>
        <v>0</v>
      </c>
      <c r="V47" s="12">
        <f>'TUSD BE'!$V$47*'TUSD BF'!$V$58</f>
        <v>0</v>
      </c>
      <c r="W47" s="12">
        <f>'TUSD BE'!$W$47*'TUSD BF'!$W$58</f>
        <v>0</v>
      </c>
      <c r="X47" s="12">
        <f>'TUSD BE'!$X$47*'TUSD BF'!$X$58</f>
        <v>0</v>
      </c>
      <c r="Y47" s="12">
        <f>'TUSD BE'!$Y$47*'TUSD BF'!$Y$58</f>
        <v>0</v>
      </c>
      <c r="Z47" s="12">
        <f>'TUSD BE'!$Z$47*'TUSD BF'!$Z$58</f>
        <v>0</v>
      </c>
      <c r="AA47" s="12">
        <f>'TUSD BE'!$AA$47*'TUSD BF'!$AA$58</f>
        <v>0</v>
      </c>
      <c r="AB47" s="12">
        <f>SUM($U$47:$AA$47)</f>
        <v>0</v>
      </c>
      <c r="AC47" s="12">
        <f>'TUSD BE'!$AC$47*'TUSD BF'!$AC$58</f>
        <v>0</v>
      </c>
      <c r="AD47" s="12">
        <f>SUM($AC$47:$AC$47)</f>
        <v>0</v>
      </c>
      <c r="AE47" s="12">
        <f ca="1">$AO$47*$AO$55</f>
        <v>0</v>
      </c>
      <c r="AF47" s="12">
        <f ca="1">$AP$47*$AP$55</f>
        <v>0</v>
      </c>
      <c r="AG47" s="12">
        <f ca="1">SUM($AE$47:$AF$47)</f>
        <v>0</v>
      </c>
      <c r="AH47" s="12">
        <f>'TUSD BE'!$AH$47*'TUSD BF'!$AH$58</f>
        <v>0</v>
      </c>
      <c r="AI47" s="12">
        <f>'TUSD BE'!$AI$47*'TUSD BF'!$AI$58</f>
        <v>0</v>
      </c>
      <c r="AJ47" s="12">
        <f ca="1">'TUSD BE'!$AJ$47*'TUSD BF'!$AJ$58</f>
        <v>0</v>
      </c>
      <c r="AK47" s="12">
        <f ca="1">'TUSD BE'!$AK$47*'TUSD BF'!$AK$58</f>
        <v>0</v>
      </c>
      <c r="AL47" s="12">
        <f ca="1">SUM($AH$47:$AK$47)</f>
        <v>0</v>
      </c>
      <c r="AM47" s="12">
        <f ca="1">SUMIF($L$4:$AL$4,"SUBTOTAL",$L$47:$AL$47)</f>
        <v>0</v>
      </c>
      <c r="AO47" s="20">
        <f ca="1">+'TUSD BE'!$T$47+'TUSD BE'!$AB$47+'TUSD BE'!$AD$47+'TUSD BE'!$AL$47</f>
        <v>232.7049547143443</v>
      </c>
      <c r="AP47" s="20">
        <f ca="1">+'TUSD BE'!$T$47+'TUSD BE'!$AB$47+'TUSD BE'!$AD$47+'TUSD BE'!$AL$47</f>
        <v>232.7049547143443</v>
      </c>
    </row>
    <row r="48" spans="1:42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>
        <f>'TUSD BE'!$L$48*'TUSD BF'!$L$58</f>
        <v>0</v>
      </c>
      <c r="M48" s="12">
        <f>'TUSD BE'!$M$48*'TUSD BF'!$M$58</f>
        <v>0</v>
      </c>
      <c r="N48" s="12">
        <f ca="1">'TUSD BE'!$N$48*'TUSD BF'!$N$58</f>
        <v>0</v>
      </c>
      <c r="O48" s="12">
        <f>'TUSD BE'!$O$48*'TUSD BF'!$O$58</f>
        <v>0</v>
      </c>
      <c r="P48" s="12">
        <f>'TUSD BE'!$P$48*'TUSD BF'!$P$58</f>
        <v>0</v>
      </c>
      <c r="Q48" s="12">
        <f>'TUSD BE'!$Q$48*'TUSD BF'!$Q$58</f>
        <v>0</v>
      </c>
      <c r="R48" s="12">
        <f>'TUSD BE'!$R$48*'TUSD BF'!$R$58</f>
        <v>0</v>
      </c>
      <c r="S48" s="12">
        <f>'TUSD BE'!$R$48*'TUSD BF'!$S$58</f>
        <v>0</v>
      </c>
      <c r="T48" s="12">
        <f ca="1">SUM($L$48:$S$48)</f>
        <v>0</v>
      </c>
      <c r="U48" s="12">
        <f>'TUSD BE'!$U$48*'TUSD BF'!$U$58</f>
        <v>0</v>
      </c>
      <c r="V48" s="12">
        <f>'TUSD BE'!$V$48*'TUSD BF'!$V$58</f>
        <v>0</v>
      </c>
      <c r="W48" s="12">
        <f>'TUSD BE'!$W$48*'TUSD BF'!$W$58</f>
        <v>0</v>
      </c>
      <c r="X48" s="12">
        <f>'TUSD BE'!$X$48*'TUSD BF'!$X$58</f>
        <v>0</v>
      </c>
      <c r="Y48" s="12">
        <f>'TUSD BE'!$Y$48*'TUSD BF'!$Y$58</f>
        <v>0</v>
      </c>
      <c r="Z48" s="12">
        <f>'TUSD BE'!$Z$48*'TUSD BF'!$Z$58</f>
        <v>0</v>
      </c>
      <c r="AA48" s="12">
        <f>'TUSD BE'!$AA$48*'TUSD BF'!$AA$58</f>
        <v>0</v>
      </c>
      <c r="AB48" s="12">
        <f>SUM($U$48:$AA$48)</f>
        <v>0</v>
      </c>
      <c r="AC48" s="12">
        <f>'TUSD BE'!$AC$48*'TUSD BF'!$AC$58</f>
        <v>0</v>
      </c>
      <c r="AD48" s="12">
        <f>SUM($AC$48:$AC$48)</f>
        <v>0</v>
      </c>
      <c r="AE48" s="12">
        <f ca="1">$AO$48*$AO$55</f>
        <v>0</v>
      </c>
      <c r="AF48" s="12">
        <f ca="1">$AP$48*$AP$55</f>
        <v>0</v>
      </c>
      <c r="AG48" s="12">
        <f ca="1">SUM($AE$48:$AF$48)</f>
        <v>0</v>
      </c>
      <c r="AH48" s="12">
        <f>'TUSD BE'!$AH$48*'TUSD BF'!$AH$58</f>
        <v>0</v>
      </c>
      <c r="AI48" s="12">
        <f>'TUSD BE'!$AI$48*'TUSD BF'!$AI$58</f>
        <v>0</v>
      </c>
      <c r="AJ48" s="12">
        <f ca="1">'TUSD BE'!$AJ$48*'TUSD BF'!$AJ$58</f>
        <v>0</v>
      </c>
      <c r="AK48" s="12">
        <f ca="1">'TUSD BE'!$AK$48*'TUSD BF'!$AK$58</f>
        <v>0</v>
      </c>
      <c r="AL48" s="12">
        <f ca="1">SUM($AH$48:$AK$48)</f>
        <v>0</v>
      </c>
      <c r="AM48" s="12">
        <f ca="1">SUMIF($L$4:$AL$4,"SUBTOTAL",$L$48:$AL$48)</f>
        <v>0</v>
      </c>
      <c r="AO48" s="20">
        <f ca="1">+'TUSD BE'!$T$48+'TUSD BE'!$AB$48+'TUSD BE'!$AD$48+'TUSD BE'!$AL$48</f>
        <v>286.65487068141226</v>
      </c>
      <c r="AP48" s="20">
        <f ca="1">+'TUSD BE'!$T$48+'TUSD BE'!$AB$48+'TUSD BE'!$AD$48+'TUSD BE'!$AL$48</f>
        <v>286.65487068141226</v>
      </c>
    </row>
    <row r="49" spans="1:42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>
        <f>'TUSD BE'!$L$49*'TUSD BF'!$L$58</f>
        <v>0</v>
      </c>
      <c r="M49" s="12">
        <f>'TUSD BE'!$M$49*'TUSD BF'!$M$58</f>
        <v>0</v>
      </c>
      <c r="N49" s="12">
        <f ca="1">'TUSD BE'!$N$49*'TUSD BF'!$N$58</f>
        <v>0</v>
      </c>
      <c r="O49" s="12">
        <f>'TUSD BE'!$O$49*'TUSD BF'!$O$58</f>
        <v>0</v>
      </c>
      <c r="P49" s="12">
        <f>'TUSD BE'!$P$49*'TUSD BF'!$P$58</f>
        <v>0</v>
      </c>
      <c r="Q49" s="12">
        <f>'TUSD BE'!$Q$49*'TUSD BF'!$Q$58</f>
        <v>0</v>
      </c>
      <c r="R49" s="12">
        <f>'TUSD BE'!$R$49*'TUSD BF'!$R$58</f>
        <v>0</v>
      </c>
      <c r="S49" s="12">
        <f>'TUSD BE'!$R$49*'TUSD BF'!$S$58</f>
        <v>0</v>
      </c>
      <c r="T49" s="12">
        <f ca="1">SUM($L$49:$S$49)</f>
        <v>0</v>
      </c>
      <c r="U49" s="12">
        <f>'TUSD BE'!$U$49*'TUSD BF'!$U$58</f>
        <v>0</v>
      </c>
      <c r="V49" s="12">
        <f>'TUSD BE'!$V$49*'TUSD BF'!$V$58</f>
        <v>0</v>
      </c>
      <c r="W49" s="12">
        <f>'TUSD BE'!$W$49*'TUSD BF'!$W$58</f>
        <v>0</v>
      </c>
      <c r="X49" s="12">
        <f>'TUSD BE'!$X$49*'TUSD BF'!$X$58</f>
        <v>0</v>
      </c>
      <c r="Y49" s="12">
        <f>'TUSD BE'!$Y$49*'TUSD BF'!$Y$58</f>
        <v>0</v>
      </c>
      <c r="Z49" s="12">
        <f>'TUSD BE'!$Z$49*'TUSD BF'!$Z$58</f>
        <v>0</v>
      </c>
      <c r="AA49" s="12">
        <f>'TUSD BE'!$AA$49*'TUSD BF'!$AA$58</f>
        <v>0</v>
      </c>
      <c r="AB49" s="12">
        <f>SUM($U$49:$AA$49)</f>
        <v>0</v>
      </c>
      <c r="AC49" s="12">
        <f>'TUSD BE'!$AC$49*'TUSD BF'!$AC$58</f>
        <v>0</v>
      </c>
      <c r="AD49" s="12">
        <f>SUM($AC$49:$AC$49)</f>
        <v>0</v>
      </c>
      <c r="AE49" s="12">
        <f ca="1">$AO$49*$AO$55</f>
        <v>0</v>
      </c>
      <c r="AF49" s="12">
        <f ca="1">$AP$49*$AP$55</f>
        <v>0</v>
      </c>
      <c r="AG49" s="12">
        <f ca="1">SUM($AE$49:$AF$49)</f>
        <v>0</v>
      </c>
      <c r="AH49" s="12">
        <f>'TUSD BE'!$AH$49*'TUSD BF'!$AH$58</f>
        <v>0</v>
      </c>
      <c r="AI49" s="12">
        <f>'TUSD BE'!$AI$49*'TUSD BF'!$AI$58</f>
        <v>0</v>
      </c>
      <c r="AJ49" s="12">
        <f ca="1">'TUSD BE'!$AJ$49*'TUSD BF'!$AJ$58</f>
        <v>0</v>
      </c>
      <c r="AK49" s="12">
        <f ca="1">'TUSD BE'!$AK$49*'TUSD BF'!$AK$58</f>
        <v>0</v>
      </c>
      <c r="AL49" s="12">
        <f ca="1">SUM($AH$49:$AK$49)</f>
        <v>0</v>
      </c>
      <c r="AM49" s="12">
        <f ca="1">SUMIF($L$4:$AL$4,"SUBTOTAL",$L$49:$AL$49)</f>
        <v>0</v>
      </c>
      <c r="AO49" s="20">
        <f ca="1">+'TUSD BE'!$T$49+'TUSD BE'!$AB$49+'TUSD BE'!$AD$49+'TUSD BE'!$AL$49</f>
        <v>286.65487068141226</v>
      </c>
      <c r="AP49" s="20">
        <f ca="1">+'TUSD BE'!$T$49+'TUSD BE'!$AB$49+'TUSD BE'!$AD$49+'TUSD BE'!$AL$49</f>
        <v>286.65487068141226</v>
      </c>
    </row>
    <row r="50" spans="1:42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>
        <f>'TUSD BE'!$L$50*'TUSD BF'!$L$58</f>
        <v>0</v>
      </c>
      <c r="M50" s="12">
        <f>'TUSD BE'!$M$50*'TUSD BF'!$M$58</f>
        <v>0</v>
      </c>
      <c r="N50" s="12">
        <f ca="1">'TUSD BE'!$N$50*'TUSD BF'!$N$58</f>
        <v>0</v>
      </c>
      <c r="O50" s="12">
        <f>'TUSD BE'!$O$50*'TUSD BF'!$O$58</f>
        <v>0</v>
      </c>
      <c r="P50" s="12">
        <f>'TUSD BE'!$P$50*'TUSD BF'!$P$58</f>
        <v>0</v>
      </c>
      <c r="Q50" s="12">
        <f>'TUSD BE'!$Q$50*'TUSD BF'!$Q$58</f>
        <v>0</v>
      </c>
      <c r="R50" s="12">
        <f>'TUSD BE'!$R$50*'TUSD BF'!$R$58</f>
        <v>0</v>
      </c>
      <c r="S50" s="12">
        <f>'TUSD BE'!$R$50*'TUSD BF'!$S$58</f>
        <v>0</v>
      </c>
      <c r="T50" s="12">
        <f ca="1">SUM($L$50:$S$50)</f>
        <v>0</v>
      </c>
      <c r="U50" s="12">
        <f>'TUSD BE'!$U$50*'TUSD BF'!$U$58</f>
        <v>0</v>
      </c>
      <c r="V50" s="12">
        <f>'TUSD BE'!$V$50*'TUSD BF'!$V$58</f>
        <v>0</v>
      </c>
      <c r="W50" s="12">
        <f>'TUSD BE'!$W$50*'TUSD BF'!$W$58</f>
        <v>0</v>
      </c>
      <c r="X50" s="12">
        <f>'TUSD BE'!$X$50*'TUSD BF'!$X$58</f>
        <v>0</v>
      </c>
      <c r="Y50" s="12">
        <f>'TUSD BE'!$Y$50*'TUSD BF'!$Y$58</f>
        <v>0</v>
      </c>
      <c r="Z50" s="12">
        <f>'TUSD BE'!$Z$50*'TUSD BF'!$Z$58</f>
        <v>0</v>
      </c>
      <c r="AA50" s="12">
        <f>'TUSD BE'!$AA$50*'TUSD BF'!$AA$58</f>
        <v>0</v>
      </c>
      <c r="AB50" s="12">
        <f>SUM($U$50:$AA$50)</f>
        <v>0</v>
      </c>
      <c r="AC50" s="12">
        <f>'TUSD BE'!$AC$50*'TUSD BF'!$AC$58</f>
        <v>0</v>
      </c>
      <c r="AD50" s="12">
        <f>SUM($AC$50:$AC$50)</f>
        <v>0</v>
      </c>
      <c r="AE50" s="12">
        <f ca="1">$AO$50*$AO$55</f>
        <v>0</v>
      </c>
      <c r="AF50" s="12">
        <f ca="1">$AP$50*$AP$55</f>
        <v>0</v>
      </c>
      <c r="AG50" s="12">
        <f ca="1">SUM($AE$50:$AF$50)</f>
        <v>0</v>
      </c>
      <c r="AH50" s="12">
        <f>'TUSD BE'!$AH$50*'TUSD BF'!$AH$58</f>
        <v>0</v>
      </c>
      <c r="AI50" s="12">
        <f>'TUSD BE'!$AI$50*'TUSD BF'!$AI$58</f>
        <v>0</v>
      </c>
      <c r="AJ50" s="12">
        <f ca="1">'TUSD BE'!$AJ$50*'TUSD BF'!$AJ$58</f>
        <v>0</v>
      </c>
      <c r="AK50" s="12">
        <f ca="1">'TUSD BE'!$AK$50*'TUSD BF'!$AK$58</f>
        <v>0</v>
      </c>
      <c r="AL50" s="12">
        <f ca="1">SUM($AH$50:$AK$50)</f>
        <v>0</v>
      </c>
      <c r="AM50" s="12">
        <f ca="1">SUMIF($L$4:$AL$4,"SUBTOTAL",$L$50:$AL$50)</f>
        <v>0</v>
      </c>
      <c r="AO50" s="20">
        <f ca="1">+'TUSD BE'!$T$50+'TUSD BE'!$AB$50+'TUSD BE'!$AD$50+'TUSD BE'!$AL$50</f>
        <v>157.66017887477676</v>
      </c>
      <c r="AP50" s="20">
        <f ca="1">+'TUSD BE'!$T$50+'TUSD BE'!$AB$50+'TUSD BE'!$AD$50+'TUSD BE'!$AL$50</f>
        <v>157.66017887477676</v>
      </c>
    </row>
    <row r="51" spans="1:42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>
        <f>'TUSD BE'!$L$51*'TUSD BF'!$L$58</f>
        <v>0</v>
      </c>
      <c r="M51" s="12">
        <f>'TUSD BE'!$M$51*'TUSD BF'!$M$58</f>
        <v>0</v>
      </c>
      <c r="N51" s="12">
        <f ca="1">'TUSD BE'!$N$51*'TUSD BF'!$N$58</f>
        <v>0</v>
      </c>
      <c r="O51" s="12">
        <f>'TUSD BE'!$O$51*'TUSD BF'!$O$58</f>
        <v>0</v>
      </c>
      <c r="P51" s="12">
        <f>'TUSD BE'!$P$51*'TUSD BF'!$P$58</f>
        <v>0</v>
      </c>
      <c r="Q51" s="12">
        <f>'TUSD BE'!$Q$51*'TUSD BF'!$Q$58</f>
        <v>0</v>
      </c>
      <c r="R51" s="12">
        <f>'TUSD BE'!$R$51*'TUSD BF'!$R$58</f>
        <v>0</v>
      </c>
      <c r="S51" s="12">
        <f>'TUSD BE'!$R$51*'TUSD BF'!$S$58</f>
        <v>0</v>
      </c>
      <c r="T51" s="12">
        <f ca="1">SUM($L$51:$S$51)</f>
        <v>0</v>
      </c>
      <c r="U51" s="12">
        <f>'TUSD BE'!$U$51*'TUSD BF'!$U$58</f>
        <v>0</v>
      </c>
      <c r="V51" s="12">
        <f>'TUSD BE'!$V$51*'TUSD BF'!$V$58</f>
        <v>0</v>
      </c>
      <c r="W51" s="12">
        <f>'TUSD BE'!$W$51*'TUSD BF'!$W$58</f>
        <v>0</v>
      </c>
      <c r="X51" s="12">
        <f>'TUSD BE'!$X$51*'TUSD BF'!$X$58</f>
        <v>0</v>
      </c>
      <c r="Y51" s="12">
        <f>'TUSD BE'!$Y$51*'TUSD BF'!$Y$58</f>
        <v>0</v>
      </c>
      <c r="Z51" s="12">
        <f>'TUSD BE'!$Z$51*'TUSD BF'!$Z$58</f>
        <v>0</v>
      </c>
      <c r="AA51" s="12">
        <f>'TUSD BE'!$AA$51*'TUSD BF'!$AA$58</f>
        <v>0</v>
      </c>
      <c r="AB51" s="12">
        <f>SUM($U$51:$AA$51)</f>
        <v>0</v>
      </c>
      <c r="AC51" s="12">
        <f>'TUSD BE'!$AC$51*'TUSD BF'!$AC$58</f>
        <v>0</v>
      </c>
      <c r="AD51" s="12">
        <f>SUM($AC$51:$AC$51)</f>
        <v>0</v>
      </c>
      <c r="AE51" s="12">
        <f ca="1">$AO$51*$AO$55</f>
        <v>0</v>
      </c>
      <c r="AF51" s="12">
        <f ca="1">$AP$51*$AP$55</f>
        <v>0</v>
      </c>
      <c r="AG51" s="12">
        <f ca="1">SUM($AE$51:$AF$51)</f>
        <v>0</v>
      </c>
      <c r="AH51" s="12">
        <f>'TUSD BE'!$AH$51*'TUSD BF'!$AH$58</f>
        <v>0</v>
      </c>
      <c r="AI51" s="12">
        <f>'TUSD BE'!$AI$51*'TUSD BF'!$AI$58</f>
        <v>0</v>
      </c>
      <c r="AJ51" s="12">
        <f ca="1">'TUSD BE'!$AJ$51*'TUSD BF'!$AJ$58</f>
        <v>0</v>
      </c>
      <c r="AK51" s="12">
        <f ca="1">'TUSD BE'!$AK$51*'TUSD BF'!$AK$58</f>
        <v>0</v>
      </c>
      <c r="AL51" s="12">
        <f ca="1">SUM($AH$51:$AK$51)</f>
        <v>0</v>
      </c>
      <c r="AM51" s="12">
        <f ca="1">SUMIF($L$4:$AL$4,"SUBTOTAL",$L$51:$AL$51)</f>
        <v>0</v>
      </c>
      <c r="AO51" s="20">
        <f ca="1">+'TUSD BE'!$T$51+'TUSD BE'!$AB$51+'TUSD BE'!$AD$51+'TUSD BE'!$AL$51</f>
        <v>171.99292240884733</v>
      </c>
      <c r="AP51" s="20">
        <f ca="1">+'TUSD BE'!$T$51+'TUSD BE'!$AB$51+'TUSD BE'!$AD$51+'TUSD BE'!$AL$51</f>
        <v>171.99292240884733</v>
      </c>
    </row>
    <row r="53" spans="1:42" ht="11.25" customHeight="1" x14ac:dyDescent="0.25">
      <c r="K53" s="16" t="s">
        <v>432</v>
      </c>
      <c r="L53" s="12">
        <f>SUMPRODUCT($I$5:$I51,$L$5:$L51)</f>
        <v>0</v>
      </c>
      <c r="M53" s="12">
        <f>SUMPRODUCT($I$5:$I51,$M$5:$M51)</f>
        <v>0</v>
      </c>
      <c r="N53" s="12">
        <f ca="1">SUMPRODUCT($I$5:$I51,$N$5:$N51)</f>
        <v>0</v>
      </c>
      <c r="O53" s="12">
        <f>SUMPRODUCT($I$5:$I51,$O$5:$O51)</f>
        <v>0</v>
      </c>
      <c r="P53" s="12">
        <f>SUMPRODUCT($I$5:$I51,$P$5:$P51)</f>
        <v>0</v>
      </c>
      <c r="Q53" s="12">
        <f>SUMPRODUCT($I$5:$I51,$Q$5:$Q51)</f>
        <v>0</v>
      </c>
      <c r="R53" s="12">
        <f>SUMPRODUCT($I$5:$I51,$R$5:$R51)</f>
        <v>0</v>
      </c>
      <c r="S53" s="12">
        <f>SUMPRODUCT($I$5:$I51,$S$5:$S51)</f>
        <v>0</v>
      </c>
      <c r="T53" s="12">
        <f ca="1">SUMPRODUCT($I$5:$I51,$T$5:$T51)</f>
        <v>0</v>
      </c>
      <c r="U53" s="12">
        <f>SUMPRODUCT($I$5:$I51,$U$5:$U51)</f>
        <v>0</v>
      </c>
      <c r="V53" s="12">
        <f>SUMPRODUCT($I$5:$I51,$V$5:$V51)</f>
        <v>0</v>
      </c>
      <c r="W53" s="12">
        <f>SUMPRODUCT($I$5:$I51,$W$5:$W51)</f>
        <v>0</v>
      </c>
      <c r="X53" s="12">
        <f>SUMPRODUCT($I$5:$I51,$X$5:$X51)</f>
        <v>0</v>
      </c>
      <c r="Y53" s="12">
        <f>SUMPRODUCT($I$5:$I51,$Y$5:$Y51)</f>
        <v>0</v>
      </c>
      <c r="Z53" s="12">
        <f>SUMPRODUCT($I$5:$I51,$Z$5:$Z51)</f>
        <v>0</v>
      </c>
      <c r="AA53" s="12">
        <f>SUMPRODUCT($I$5:$I51,$AA$5:$AA51)</f>
        <v>0</v>
      </c>
      <c r="AB53" s="12">
        <f>SUMPRODUCT($I$5:$I51,$AB$5:$AB51)</f>
        <v>0</v>
      </c>
      <c r="AC53" s="12">
        <f>SUMPRODUCT($I$5:$I51,$AC$5:$AC51)</f>
        <v>0</v>
      </c>
      <c r="AD53" s="12">
        <f>SUMPRODUCT($I$5:$I51,$AD$5:$AD51)</f>
        <v>0</v>
      </c>
      <c r="AE53" s="12">
        <f ca="1">SUMPRODUCT($I$5:$I51,$AE$5:$AE51)</f>
        <v>0</v>
      </c>
      <c r="AF53" s="12">
        <f ca="1">SUMPRODUCT($I$5:$I51,$AF$5:$AF51)</f>
        <v>0</v>
      </c>
      <c r="AG53" s="12">
        <f ca="1">SUMPRODUCT($I$5:$I51,$AG$5:$AG51)</f>
        <v>0</v>
      </c>
      <c r="AH53" s="12">
        <f>SUMPRODUCT($I$5:$I51,$AH$5:$AH51)</f>
        <v>0</v>
      </c>
      <c r="AI53" s="12">
        <f>SUMPRODUCT($I$5:$I51,$AI$5:$AI51)</f>
        <v>0</v>
      </c>
      <c r="AJ53" s="12">
        <f ca="1">SUMPRODUCT($I$5:$I51,$AJ$5:$AJ51)</f>
        <v>0</v>
      </c>
      <c r="AK53" s="12">
        <f ca="1">SUMPRODUCT($I$5:$I51,$AK$5:$AK51)</f>
        <v>0</v>
      </c>
      <c r="AL53" s="12">
        <f ca="1">SUMPRODUCT($I$5:$I51,$AL$5:$AL51)</f>
        <v>0</v>
      </c>
      <c r="AM53" s="12">
        <f ca="1">SUMPRODUCT($I$5:$I51,$AM$5:$AM51)</f>
        <v>0</v>
      </c>
      <c r="AO53" s="17">
        <f ca="1">SUMPRODUCT($I$5:$I51,$AO$5:$AO51)</f>
        <v>12240661.258408859</v>
      </c>
      <c r="AP53" s="17">
        <f ca="1">SUMPRODUCT($I$5:$I51,$AP$5:$AP51)</f>
        <v>12240661.258408859</v>
      </c>
    </row>
    <row r="54" spans="1:42" ht="11.25" customHeight="1" x14ac:dyDescent="0.25">
      <c r="K54" s="16" t="s">
        <v>364</v>
      </c>
      <c r="L54" s="12">
        <f>'TR TUSD'!$L$56</f>
        <v>0</v>
      </c>
      <c r="M54" s="12">
        <f>'TR TUSD'!$M$56</f>
        <v>20528.077865070933</v>
      </c>
      <c r="N54" s="12">
        <f>'TR TUSD'!$N$56</f>
        <v>0</v>
      </c>
      <c r="O54" s="12">
        <f>'TR TUSD'!$O$56</f>
        <v>0</v>
      </c>
      <c r="P54" s="12">
        <f>'TR TUSD'!$P$56</f>
        <v>0</v>
      </c>
      <c r="Q54" s="12">
        <f>'TR TUSD'!$Q$56</f>
        <v>4334434.3109400002</v>
      </c>
      <c r="R54" s="12">
        <f>'TR TUSD'!$R$56</f>
        <v>800993.75328000018</v>
      </c>
      <c r="S54" s="12">
        <f>'TR TUSD'!$S$56</f>
        <v>0</v>
      </c>
      <c r="T54" s="12">
        <f>'TR TUSD'!$T$56</f>
        <v>5155956.1420850707</v>
      </c>
      <c r="U54" s="12">
        <f>'TR TUSD'!$U$56</f>
        <v>0</v>
      </c>
      <c r="V54" s="12">
        <f>'TR TUSD'!$V$56</f>
        <v>0</v>
      </c>
      <c r="W54" s="12">
        <f>'TR TUSD'!$W$56</f>
        <v>0</v>
      </c>
      <c r="X54" s="12">
        <f>'TR TUSD'!$X$56</f>
        <v>0</v>
      </c>
      <c r="Y54" s="12">
        <f>'TR TUSD'!$Y$56</f>
        <v>2156133.9775</v>
      </c>
      <c r="Z54" s="12">
        <f>'TR TUSD'!$Z$56</f>
        <v>0</v>
      </c>
      <c r="AA54" s="12">
        <f>'TR TUSD'!$AA$56</f>
        <v>0</v>
      </c>
      <c r="AB54" s="12">
        <f>'TR TUSD'!$AB$56</f>
        <v>2156133.9775</v>
      </c>
      <c r="AC54" s="12">
        <f>'TR TUSD'!$AC$56</f>
        <v>4510443.0453111222</v>
      </c>
      <c r="AD54" s="12">
        <f>'TR TUSD'!$AD$56</f>
        <v>4510443.0453111222</v>
      </c>
      <c r="AE54" s="12">
        <f>'TR TUSD'!$AE$56</f>
        <v>0</v>
      </c>
      <c r="AF54" s="12">
        <f>'TR TUSD'!$AF$56</f>
        <v>0</v>
      </c>
      <c r="AG54" s="12">
        <f>'TR TUSD'!$AG$56</f>
        <v>0</v>
      </c>
      <c r="AH54" s="12">
        <f>'TR TUSD'!$AH$56</f>
        <v>418128.09351266426</v>
      </c>
      <c r="AI54" s="12">
        <f>'TR TUSD'!$AI$56</f>
        <v>0</v>
      </c>
      <c r="AJ54" s="12">
        <f>'TR TUSD'!$AJ$56</f>
        <v>0</v>
      </c>
      <c r="AK54" s="12">
        <f>'TR TUSD'!$AK$56</f>
        <v>0</v>
      </c>
      <c r="AL54" s="12">
        <f>'TR TUSD'!$AL$56</f>
        <v>418128.09351266426</v>
      </c>
      <c r="AM54" s="12">
        <f>CUSTOS!$D$29</f>
        <v>12240661.258408858</v>
      </c>
      <c r="AO54" s="17">
        <f>$AE$56</f>
        <v>0</v>
      </c>
      <c r="AP54" s="17">
        <f>$AF$56</f>
        <v>0</v>
      </c>
    </row>
    <row r="55" spans="1:42" ht="11.25" customHeight="1" x14ac:dyDescent="0.25">
      <c r="K55" s="16" t="s">
        <v>365</v>
      </c>
      <c r="L55" s="12">
        <f>CUSTOS!$E$2</f>
        <v>0</v>
      </c>
      <c r="M55" s="12">
        <f>CUSTOS!$E$3</f>
        <v>-265.52917760075673</v>
      </c>
      <c r="N55" s="12">
        <f>CUSTOS!$E$4</f>
        <v>0</v>
      </c>
      <c r="O55" s="12">
        <f>CUSTOS!$E$5</f>
        <v>0</v>
      </c>
      <c r="P55" s="12">
        <f>CUSTOS!$E$6</f>
        <v>0</v>
      </c>
      <c r="Q55" s="12">
        <f>CUSTOS!$E$7</f>
        <v>-48767.209514869857</v>
      </c>
      <c r="R55" s="12">
        <f>CUSTOS!$E$8</f>
        <v>-8700.7586157352198</v>
      </c>
      <c r="S55" s="12">
        <f>CUSTOS!$E$9</f>
        <v>0</v>
      </c>
      <c r="T55" s="12">
        <f>CUSTOS!$E$10</f>
        <v>-57733.497308205835</v>
      </c>
      <c r="U55" s="12">
        <f>CUSTOS!$E$11</f>
        <v>0</v>
      </c>
      <c r="V55" s="12">
        <f>CUSTOS!$E$12</f>
        <v>0</v>
      </c>
      <c r="W55" s="12">
        <f>CUSTOS!$E$13</f>
        <v>0</v>
      </c>
      <c r="X55" s="12">
        <f>CUSTOS!$E$14</f>
        <v>0</v>
      </c>
      <c r="Y55" s="12">
        <f>CUSTOS!$E$15</f>
        <v>63610.411416400762</v>
      </c>
      <c r="Z55" s="12">
        <f>CUSTOS!$E$16</f>
        <v>0</v>
      </c>
      <c r="AA55" s="12">
        <f>CUSTOS!$E$17</f>
        <v>0</v>
      </c>
      <c r="AB55" s="12">
        <f>CUSTOS!$E$18</f>
        <v>63610.411416400762</v>
      </c>
      <c r="AC55" s="12">
        <f>CUSTOS!$E$19</f>
        <v>0</v>
      </c>
      <c r="AD55" s="12">
        <f>CUSTOS!$E$20</f>
        <v>0</v>
      </c>
      <c r="AE55" s="12">
        <f>CUSTOS!$E$21</f>
        <v>-305197.71894690522</v>
      </c>
      <c r="AF55" s="12">
        <f>CUSTOS!$E$22</f>
        <v>0</v>
      </c>
      <c r="AG55" s="12">
        <f>CUSTOS!$E$23</f>
        <v>-305197.71894690522</v>
      </c>
      <c r="AH55" s="12">
        <f>CUSTOS!$E$24</f>
        <v>3428.6835292660935</v>
      </c>
      <c r="AI55" s="12">
        <f>CUSTOS!$E$25</f>
        <v>0</v>
      </c>
      <c r="AJ55" s="12">
        <f>CUSTOS!$E$26</f>
        <v>0</v>
      </c>
      <c r="AK55" s="12">
        <f>CUSTOS!$E$27</f>
        <v>0</v>
      </c>
      <c r="AL55" s="12">
        <f>CUSTOS!$E$28</f>
        <v>3428.6835292660935</v>
      </c>
      <c r="AM55" s="12">
        <f>CUSTOS!$E$29</f>
        <v>-295892.12130944419</v>
      </c>
      <c r="AO55" s="17">
        <f ca="1">IF(AO53&lt;&gt;0,AO54/AO53,0)</f>
        <v>0</v>
      </c>
      <c r="AP55" s="17">
        <f ca="1">IF(AP53&lt;&gt;0,AP54/AP53,0)</f>
        <v>0</v>
      </c>
    </row>
    <row r="56" spans="1:42" ht="11.25" customHeight="1" x14ac:dyDescent="0.25">
      <c r="K56" s="16" t="s">
        <v>366</v>
      </c>
      <c r="L56" s="12">
        <f>CUSTOS!$F$2</f>
        <v>0</v>
      </c>
      <c r="M56" s="12">
        <f>CUSTOS!$F$3</f>
        <v>0</v>
      </c>
      <c r="N56" s="12">
        <f>CUSTOS!$F$4</f>
        <v>0</v>
      </c>
      <c r="O56" s="12">
        <f>CUSTOS!$F$5</f>
        <v>0</v>
      </c>
      <c r="P56" s="12">
        <f>CUSTOS!$F$6</f>
        <v>0</v>
      </c>
      <c r="Q56" s="12">
        <f>CUSTOS!$F$7</f>
        <v>0</v>
      </c>
      <c r="R56" s="12">
        <f>CUSTOS!$F$8</f>
        <v>0</v>
      </c>
      <c r="S56" s="12">
        <f>CUSTOS!$F$9</f>
        <v>0</v>
      </c>
      <c r="T56" s="12">
        <f>CUSTOS!$F$10</f>
        <v>0</v>
      </c>
      <c r="U56" s="12">
        <f>CUSTOS!$F$11</f>
        <v>0</v>
      </c>
      <c r="V56" s="12">
        <f>CUSTOS!$F$12</f>
        <v>0</v>
      </c>
      <c r="W56" s="12">
        <f>CUSTOS!$F$13</f>
        <v>0</v>
      </c>
      <c r="X56" s="12">
        <f>CUSTOS!$F$14</f>
        <v>0</v>
      </c>
      <c r="Y56" s="12">
        <f>CUSTOS!$F$15</f>
        <v>0</v>
      </c>
      <c r="Z56" s="12">
        <f>CUSTOS!$F$16</f>
        <v>0</v>
      </c>
      <c r="AA56" s="12">
        <f>CUSTOS!$F$17</f>
        <v>0</v>
      </c>
      <c r="AB56" s="12">
        <f>CUSTOS!$F$18</f>
        <v>0</v>
      </c>
      <c r="AC56" s="12">
        <f>CUSTOS!$F$19</f>
        <v>0</v>
      </c>
      <c r="AD56" s="12">
        <f>CUSTOS!$F$20</f>
        <v>0</v>
      </c>
      <c r="AE56" s="12">
        <f>CUSTOS!$F$21</f>
        <v>0</v>
      </c>
      <c r="AF56" s="12">
        <f>CUSTOS!$F$22</f>
        <v>0</v>
      </c>
      <c r="AG56" s="12">
        <f>CUSTOS!$F$23</f>
        <v>0</v>
      </c>
      <c r="AH56" s="12">
        <f>CUSTOS!$F$24</f>
        <v>0</v>
      </c>
      <c r="AI56" s="12">
        <f>CUSTOS!$F$25</f>
        <v>0</v>
      </c>
      <c r="AJ56" s="12">
        <f>CUSTOS!$F$26</f>
        <v>0</v>
      </c>
      <c r="AK56" s="12">
        <f>CUSTOS!$F$27</f>
        <v>0</v>
      </c>
      <c r="AL56" s="12">
        <f>CUSTOS!$F$28</f>
        <v>0</v>
      </c>
      <c r="AM56" s="12">
        <f>CUSTOS!$F$29</f>
        <v>0</v>
      </c>
    </row>
    <row r="57" spans="1:42" ht="11.25" customHeight="1" x14ac:dyDescent="0.25">
      <c r="K57" s="16" t="s">
        <v>429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/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/>
      <c r="AC57" s="12">
        <v>0</v>
      </c>
      <c r="AD57" s="12"/>
      <c r="AE57" s="12">
        <v>0</v>
      </c>
      <c r="AF57" s="12">
        <v>0</v>
      </c>
      <c r="AG57" s="12"/>
      <c r="AH57" s="12">
        <v>0</v>
      </c>
      <c r="AI57" s="12">
        <v>0</v>
      </c>
      <c r="AJ57" s="12">
        <v>0</v>
      </c>
      <c r="AK57" s="12">
        <v>0</v>
      </c>
      <c r="AL57" s="12"/>
      <c r="AM57" s="12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642" priority="55" operator="notEqual">
      <formula>$L$56</formula>
    </cfRule>
    <cfRule type="cellIs" dxfId="641" priority="56" operator="equal">
      <formula>$L$56</formula>
    </cfRule>
  </conditionalFormatting>
  <conditionalFormatting sqref="M53">
    <cfRule type="cellIs" dxfId="640" priority="53" operator="notEqual">
      <formula>$M$56</formula>
    </cfRule>
    <cfRule type="cellIs" dxfId="639" priority="54" operator="equal">
      <formula>$M$56</formula>
    </cfRule>
  </conditionalFormatting>
  <conditionalFormatting sqref="N53">
    <cfRule type="cellIs" dxfId="638" priority="51" operator="notEqual">
      <formula>$N$56</formula>
    </cfRule>
    <cfRule type="cellIs" dxfId="637" priority="52" operator="equal">
      <formula>$N$56</formula>
    </cfRule>
  </conditionalFormatting>
  <conditionalFormatting sqref="O53">
    <cfRule type="cellIs" dxfId="636" priority="49" operator="notEqual">
      <formula>$O$56</formula>
    </cfRule>
    <cfRule type="cellIs" dxfId="635" priority="50" operator="equal">
      <formula>$O$56</formula>
    </cfRule>
  </conditionalFormatting>
  <conditionalFormatting sqref="P53">
    <cfRule type="cellIs" dxfId="634" priority="47" operator="notEqual">
      <formula>$P$56</formula>
    </cfRule>
    <cfRule type="cellIs" dxfId="633" priority="48" operator="equal">
      <formula>$P$56</formula>
    </cfRule>
  </conditionalFormatting>
  <conditionalFormatting sqref="Q53">
    <cfRule type="cellIs" dxfId="632" priority="45" operator="notEqual">
      <formula>$Q$56</formula>
    </cfRule>
    <cfRule type="cellIs" dxfId="631" priority="46" operator="equal">
      <formula>$Q$56</formula>
    </cfRule>
  </conditionalFormatting>
  <conditionalFormatting sqref="R53">
    <cfRule type="cellIs" dxfId="630" priority="43" operator="notEqual">
      <formula>$R$56</formula>
    </cfRule>
    <cfRule type="cellIs" dxfId="629" priority="44" operator="equal">
      <formula>$R$56</formula>
    </cfRule>
  </conditionalFormatting>
  <conditionalFormatting sqref="S53">
    <cfRule type="cellIs" dxfId="628" priority="41" operator="notEqual">
      <formula>$S$56</formula>
    </cfRule>
    <cfRule type="cellIs" dxfId="627" priority="42" operator="equal">
      <formula>$S$56</formula>
    </cfRule>
  </conditionalFormatting>
  <conditionalFormatting sqref="T53">
    <cfRule type="cellIs" dxfId="626" priority="39" operator="notEqual">
      <formula>$T$56</formula>
    </cfRule>
    <cfRule type="cellIs" dxfId="625" priority="40" operator="equal">
      <formula>$T$56</formula>
    </cfRule>
  </conditionalFormatting>
  <conditionalFormatting sqref="U53">
    <cfRule type="cellIs" dxfId="624" priority="37" operator="notEqual">
      <formula>$U$56</formula>
    </cfRule>
    <cfRule type="cellIs" dxfId="623" priority="38" operator="equal">
      <formula>$U$56</formula>
    </cfRule>
  </conditionalFormatting>
  <conditionalFormatting sqref="V53">
    <cfRule type="cellIs" dxfId="622" priority="35" operator="notEqual">
      <formula>$V$56</formula>
    </cfRule>
    <cfRule type="cellIs" dxfId="621" priority="36" operator="equal">
      <formula>$V$56</formula>
    </cfRule>
  </conditionalFormatting>
  <conditionalFormatting sqref="W53">
    <cfRule type="cellIs" dxfId="620" priority="33" operator="notEqual">
      <formula>$W$56</formula>
    </cfRule>
    <cfRule type="cellIs" dxfId="619" priority="34" operator="equal">
      <formula>$W$56</formula>
    </cfRule>
  </conditionalFormatting>
  <conditionalFormatting sqref="X53">
    <cfRule type="cellIs" dxfId="618" priority="31" operator="notEqual">
      <formula>$X$56</formula>
    </cfRule>
    <cfRule type="cellIs" dxfId="617" priority="32" operator="equal">
      <formula>$X$56</formula>
    </cfRule>
  </conditionalFormatting>
  <conditionalFormatting sqref="Y53">
    <cfRule type="cellIs" dxfId="616" priority="29" operator="notEqual">
      <formula>$Y$56</formula>
    </cfRule>
    <cfRule type="cellIs" dxfId="615" priority="30" operator="equal">
      <formula>$Y$56</formula>
    </cfRule>
  </conditionalFormatting>
  <conditionalFormatting sqref="Z53">
    <cfRule type="cellIs" dxfId="614" priority="27" operator="notEqual">
      <formula>$Z$56</formula>
    </cfRule>
    <cfRule type="cellIs" dxfId="613" priority="28" operator="equal">
      <formula>$Z$56</formula>
    </cfRule>
  </conditionalFormatting>
  <conditionalFormatting sqref="AA53">
    <cfRule type="cellIs" dxfId="612" priority="25" operator="notEqual">
      <formula>$AA$56</formula>
    </cfRule>
    <cfRule type="cellIs" dxfId="611" priority="26" operator="equal">
      <formula>$AA$56</formula>
    </cfRule>
  </conditionalFormatting>
  <conditionalFormatting sqref="AB53">
    <cfRule type="cellIs" dxfId="610" priority="23" operator="notEqual">
      <formula>$AB$56</formula>
    </cfRule>
    <cfRule type="cellIs" dxfId="609" priority="24" operator="equal">
      <formula>$AB$56</formula>
    </cfRule>
  </conditionalFormatting>
  <conditionalFormatting sqref="AC53">
    <cfRule type="cellIs" dxfId="608" priority="21" operator="notEqual">
      <formula>$AC$56</formula>
    </cfRule>
    <cfRule type="cellIs" dxfId="607" priority="22" operator="equal">
      <formula>$AC$56</formula>
    </cfRule>
  </conditionalFormatting>
  <conditionalFormatting sqref="AD53">
    <cfRule type="cellIs" dxfId="606" priority="19" operator="notEqual">
      <formula>$AD$56</formula>
    </cfRule>
    <cfRule type="cellIs" dxfId="605" priority="20" operator="equal">
      <formula>$AD$56</formula>
    </cfRule>
  </conditionalFormatting>
  <conditionalFormatting sqref="AE53">
    <cfRule type="cellIs" dxfId="604" priority="17" operator="notEqual">
      <formula>$AE$56</formula>
    </cfRule>
    <cfRule type="cellIs" dxfId="603" priority="18" operator="equal">
      <formula>$AE$56</formula>
    </cfRule>
  </conditionalFormatting>
  <conditionalFormatting sqref="AF53">
    <cfRule type="cellIs" dxfId="602" priority="16" operator="equal">
      <formula>$AF$56</formula>
    </cfRule>
  </conditionalFormatting>
  <conditionalFormatting sqref="AF53">
    <cfRule type="cellIs" dxfId="601" priority="15" operator="notEqual">
      <formula>$AF$56</formula>
    </cfRule>
  </conditionalFormatting>
  <conditionalFormatting sqref="AG53">
    <cfRule type="cellIs" dxfId="600" priority="14" operator="equal">
      <formula>$AG$56</formula>
    </cfRule>
  </conditionalFormatting>
  <conditionalFormatting sqref="AG53">
    <cfRule type="cellIs" dxfId="599" priority="13" operator="notEqual">
      <formula>$AG$56</formula>
    </cfRule>
  </conditionalFormatting>
  <conditionalFormatting sqref="AH53">
    <cfRule type="cellIs" dxfId="598" priority="12" operator="equal">
      <formula>$AH$56</formula>
    </cfRule>
  </conditionalFormatting>
  <conditionalFormatting sqref="AH53">
    <cfRule type="cellIs" dxfId="597" priority="11" operator="notEqual">
      <formula>$AH$56</formula>
    </cfRule>
  </conditionalFormatting>
  <conditionalFormatting sqref="AI53">
    <cfRule type="cellIs" dxfId="596" priority="10" operator="equal">
      <formula>$AI$56</formula>
    </cfRule>
  </conditionalFormatting>
  <conditionalFormatting sqref="AI53">
    <cfRule type="cellIs" dxfId="595" priority="9" operator="notEqual">
      <formula>$AI$56</formula>
    </cfRule>
  </conditionalFormatting>
  <conditionalFormatting sqref="AJ53">
    <cfRule type="cellIs" dxfId="594" priority="8" operator="equal">
      <formula>$AJ$56</formula>
    </cfRule>
  </conditionalFormatting>
  <conditionalFormatting sqref="AJ53">
    <cfRule type="cellIs" dxfId="593" priority="7" operator="notEqual">
      <formula>$AJ$56</formula>
    </cfRule>
  </conditionalFormatting>
  <conditionalFormatting sqref="AK53">
    <cfRule type="cellIs" dxfId="592" priority="6" operator="equal">
      <formula>$AK$56</formula>
    </cfRule>
  </conditionalFormatting>
  <conditionalFormatting sqref="AK53">
    <cfRule type="cellIs" dxfId="591" priority="5" operator="notEqual">
      <formula>$AK$56</formula>
    </cfRule>
  </conditionalFormatting>
  <conditionalFormatting sqref="AL53">
    <cfRule type="cellIs" dxfId="590" priority="4" operator="equal">
      <formula>$AL$56</formula>
    </cfRule>
  </conditionalFormatting>
  <conditionalFormatting sqref="AL53">
    <cfRule type="cellIs" dxfId="589" priority="3" operator="notEqual">
      <formula>$AL$56</formula>
    </cfRule>
  </conditionalFormatting>
  <conditionalFormatting sqref="AM53">
    <cfRule type="cellIs" dxfId="588" priority="2" operator="equal">
      <formula>$AM$56</formula>
    </cfRule>
  </conditionalFormatting>
  <conditionalFormatting sqref="AM53">
    <cfRule type="cellIs" dxfId="587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C141-D747-4255-91EE-BA56F94F513B}">
  <dimension ref="A1:AB49"/>
  <sheetViews>
    <sheetView showGridLines="0" topLeftCell="A25" workbookViewId="0">
      <selection activeCell="K43" sqref="K43:AB49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.85546875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.85546875" style="9" bestFit="1" customWidth="1"/>
    <col min="29" max="16384" width="9.140625" style="9"/>
  </cols>
  <sheetData>
    <row r="1" spans="1:28" ht="11.25" customHeight="1" x14ac:dyDescent="0.25">
      <c r="A1" s="113" t="s">
        <v>53</v>
      </c>
      <c r="B1" s="113" t="s">
        <v>54</v>
      </c>
      <c r="C1" s="113" t="s">
        <v>55</v>
      </c>
      <c r="D1" s="113" t="s">
        <v>56</v>
      </c>
      <c r="E1" s="113" t="s">
        <v>57</v>
      </c>
      <c r="F1" s="113" t="s">
        <v>15</v>
      </c>
      <c r="G1" s="113" t="s">
        <v>59</v>
      </c>
      <c r="H1" s="113" t="s">
        <v>60</v>
      </c>
      <c r="I1" s="113" t="s">
        <v>423</v>
      </c>
      <c r="J1" s="98"/>
      <c r="L1" s="114" t="s">
        <v>444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8"/>
      <c r="L2" s="114" t="s">
        <v>350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8"/>
      <c r="L3" s="114" t="s">
        <v>323</v>
      </c>
      <c r="M3" s="114"/>
      <c r="N3" s="114"/>
      <c r="O3" s="114"/>
      <c r="P3" s="114"/>
      <c r="Q3" s="114"/>
      <c r="R3" s="114" t="s">
        <v>354</v>
      </c>
      <c r="S3" s="114"/>
      <c r="T3" s="114" t="s">
        <v>332</v>
      </c>
      <c r="U3" s="114"/>
      <c r="V3" s="114"/>
      <c r="W3" s="114"/>
      <c r="X3" s="114" t="s">
        <v>342</v>
      </c>
      <c r="Y3" s="114"/>
      <c r="Z3" s="114" t="s">
        <v>345</v>
      </c>
      <c r="AA3" s="114"/>
      <c r="AB3" s="114" t="s">
        <v>331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8"/>
      <c r="L4" s="24" t="s">
        <v>325</v>
      </c>
      <c r="M4" s="24" t="s">
        <v>351</v>
      </c>
      <c r="N4" s="24" t="s">
        <v>352</v>
      </c>
      <c r="O4" s="24" t="s">
        <v>411</v>
      </c>
      <c r="P4" s="24" t="s">
        <v>353</v>
      </c>
      <c r="Q4" s="24" t="s">
        <v>331</v>
      </c>
      <c r="R4" s="24" t="s">
        <v>355</v>
      </c>
      <c r="S4" s="24" t="s">
        <v>331</v>
      </c>
      <c r="T4" s="24" t="s">
        <v>356</v>
      </c>
      <c r="U4" s="24" t="s">
        <v>357</v>
      </c>
      <c r="V4" s="24" t="s">
        <v>358</v>
      </c>
      <c r="W4" s="24" t="s">
        <v>331</v>
      </c>
      <c r="X4" s="24" t="s">
        <v>343</v>
      </c>
      <c r="Y4" s="24" t="s">
        <v>331</v>
      </c>
      <c r="Z4" s="24" t="s">
        <v>359</v>
      </c>
      <c r="AA4" s="24" t="s">
        <v>331</v>
      </c>
      <c r="AB4" s="115"/>
    </row>
    <row r="5" spans="1:28" ht="11.25" customHeight="1" x14ac:dyDescent="0.25">
      <c r="A5" s="112" t="s">
        <v>33</v>
      </c>
      <c r="B5" s="112" t="s">
        <v>62</v>
      </c>
      <c r="C5" s="112" t="s">
        <v>25</v>
      </c>
      <c r="D5" s="112" t="s">
        <v>25</v>
      </c>
      <c r="E5" s="112" t="s">
        <v>25</v>
      </c>
      <c r="F5" s="112" t="s">
        <v>25</v>
      </c>
      <c r="G5" s="22" t="s">
        <v>64</v>
      </c>
      <c r="H5" s="22" t="s">
        <v>63</v>
      </c>
      <c r="I5" s="22">
        <f>'MERCADO TE'!$U$2</f>
        <v>4424.8969999999999</v>
      </c>
      <c r="J5" s="15"/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/>
      <c r="R5" s="20">
        <v>1</v>
      </c>
      <c r="S5" s="20"/>
      <c r="T5" s="20">
        <v>1</v>
      </c>
      <c r="U5" s="20">
        <v>1</v>
      </c>
      <c r="V5" s="20">
        <v>1</v>
      </c>
      <c r="W5" s="20"/>
      <c r="X5" s="20"/>
      <c r="Y5" s="20"/>
      <c r="Z5" s="20">
        <v>1</v>
      </c>
      <c r="AA5" s="20"/>
      <c r="AB5" s="20"/>
    </row>
    <row r="6" spans="1:28" ht="11.25" customHeight="1" x14ac:dyDescent="0.25">
      <c r="A6" s="112"/>
      <c r="B6" s="112"/>
      <c r="C6" s="112"/>
      <c r="D6" s="112"/>
      <c r="E6" s="112"/>
      <c r="F6" s="112"/>
      <c r="G6" s="22" t="s">
        <v>65</v>
      </c>
      <c r="H6" s="22" t="s">
        <v>63</v>
      </c>
      <c r="I6" s="22">
        <f>'MERCADO TE'!$U$3</f>
        <v>46701.057000000001</v>
      </c>
      <c r="J6" s="15"/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/>
      <c r="R6" s="20">
        <v>1</v>
      </c>
      <c r="S6" s="20"/>
      <c r="T6" s="20">
        <v>1</v>
      </c>
      <c r="U6" s="20">
        <v>1</v>
      </c>
      <c r="V6" s="20">
        <v>1</v>
      </c>
      <c r="W6" s="20"/>
      <c r="X6" s="20"/>
      <c r="Y6" s="20"/>
      <c r="Z6" s="20">
        <v>1</v>
      </c>
      <c r="AA6" s="20"/>
      <c r="AB6" s="20"/>
    </row>
    <row r="7" spans="1:28" ht="11.25" customHeight="1" x14ac:dyDescent="0.25">
      <c r="A7" s="112" t="s">
        <v>22</v>
      </c>
      <c r="B7" s="112" t="s">
        <v>62</v>
      </c>
      <c r="C7" s="112" t="s">
        <v>24</v>
      </c>
      <c r="D7" s="112" t="s">
        <v>24</v>
      </c>
      <c r="E7" s="112" t="s">
        <v>25</v>
      </c>
      <c r="F7" s="112" t="s">
        <v>25</v>
      </c>
      <c r="G7" s="22" t="s">
        <v>64</v>
      </c>
      <c r="H7" s="22" t="s">
        <v>63</v>
      </c>
      <c r="I7" s="22">
        <f>'MERCADO TE'!$U$4</f>
        <v>0</v>
      </c>
      <c r="J7" s="15"/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/>
      <c r="R7" s="20">
        <v>1</v>
      </c>
      <c r="S7" s="20"/>
      <c r="T7" s="20">
        <v>1</v>
      </c>
      <c r="U7" s="20">
        <v>1</v>
      </c>
      <c r="V7" s="20">
        <v>1</v>
      </c>
      <c r="W7" s="20"/>
      <c r="X7" s="20"/>
      <c r="Y7" s="20"/>
      <c r="Z7" s="20">
        <v>1</v>
      </c>
      <c r="AA7" s="20"/>
      <c r="AB7" s="20"/>
    </row>
    <row r="8" spans="1:28" ht="11.25" customHeight="1" x14ac:dyDescent="0.25">
      <c r="A8" s="112"/>
      <c r="B8" s="112"/>
      <c r="C8" s="112"/>
      <c r="D8" s="112"/>
      <c r="E8" s="112"/>
      <c r="F8" s="112"/>
      <c r="G8" s="22" t="s">
        <v>75</v>
      </c>
      <c r="H8" s="22" t="s">
        <v>63</v>
      </c>
      <c r="I8" s="22">
        <f>'MERCADO TE'!$U$5</f>
        <v>0</v>
      </c>
      <c r="J8" s="15"/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/>
      <c r="R8" s="20">
        <v>1</v>
      </c>
      <c r="S8" s="20"/>
      <c r="T8" s="20">
        <v>1</v>
      </c>
      <c r="U8" s="20">
        <v>1</v>
      </c>
      <c r="V8" s="20">
        <v>1</v>
      </c>
      <c r="W8" s="20"/>
      <c r="X8" s="20"/>
      <c r="Y8" s="20"/>
      <c r="Z8" s="20">
        <v>1</v>
      </c>
      <c r="AA8" s="20"/>
      <c r="AB8" s="20"/>
    </row>
    <row r="9" spans="1:28" ht="11.25" customHeight="1" x14ac:dyDescent="0.25">
      <c r="A9" s="112"/>
      <c r="B9" s="112"/>
      <c r="C9" s="112"/>
      <c r="D9" s="112"/>
      <c r="E9" s="112"/>
      <c r="F9" s="112"/>
      <c r="G9" s="22" t="s">
        <v>65</v>
      </c>
      <c r="H9" s="22" t="s">
        <v>63</v>
      </c>
      <c r="I9" s="22">
        <f>'MERCADO TE'!$U$6</f>
        <v>0</v>
      </c>
      <c r="J9" s="15"/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/>
      <c r="R9" s="20">
        <v>1</v>
      </c>
      <c r="S9" s="20"/>
      <c r="T9" s="20">
        <v>1</v>
      </c>
      <c r="U9" s="20">
        <v>1</v>
      </c>
      <c r="V9" s="20">
        <v>1</v>
      </c>
      <c r="W9" s="20"/>
      <c r="X9" s="20"/>
      <c r="Y9" s="20"/>
      <c r="Z9" s="20">
        <v>1</v>
      </c>
      <c r="AA9" s="20"/>
      <c r="AB9" s="20"/>
    </row>
    <row r="10" spans="1:28" ht="11.25" customHeight="1" x14ac:dyDescent="0.25">
      <c r="A10" s="112"/>
      <c r="B10" s="112" t="s">
        <v>76</v>
      </c>
      <c r="C10" s="112" t="s">
        <v>24</v>
      </c>
      <c r="D10" s="23" t="s">
        <v>24</v>
      </c>
      <c r="E10" s="23" t="s">
        <v>25</v>
      </c>
      <c r="F10" s="23" t="s">
        <v>25</v>
      </c>
      <c r="G10" s="22" t="s">
        <v>69</v>
      </c>
      <c r="H10" s="22" t="s">
        <v>63</v>
      </c>
      <c r="I10" s="22">
        <f>'MERCADO TE'!$U$7</f>
        <v>2968.7139999999999</v>
      </c>
      <c r="J10" s="15"/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/>
      <c r="R10" s="20">
        <v>1</v>
      </c>
      <c r="S10" s="20"/>
      <c r="T10" s="20">
        <v>1</v>
      </c>
      <c r="U10" s="20">
        <v>1</v>
      </c>
      <c r="V10" s="20">
        <v>1</v>
      </c>
      <c r="W10" s="20"/>
      <c r="X10" s="20"/>
      <c r="Y10" s="20"/>
      <c r="Z10" s="20">
        <v>1</v>
      </c>
      <c r="AA10" s="20"/>
      <c r="AB10" s="20"/>
    </row>
    <row r="11" spans="1:28" ht="11.25" customHeight="1" x14ac:dyDescent="0.25">
      <c r="A11" s="112"/>
      <c r="B11" s="112"/>
      <c r="C11" s="112"/>
      <c r="D11" s="23" t="s">
        <v>27</v>
      </c>
      <c r="E11" s="23" t="s">
        <v>25</v>
      </c>
      <c r="F11" s="23" t="s">
        <v>25</v>
      </c>
      <c r="G11" s="22" t="s">
        <v>69</v>
      </c>
      <c r="H11" s="22" t="s">
        <v>63</v>
      </c>
      <c r="I11" s="22">
        <f>'MERCADO TE'!$U$8</f>
        <v>3.0050000000000003</v>
      </c>
      <c r="J11" s="15"/>
      <c r="L11" s="20">
        <f>1 - CUSTOS!$M$24</f>
        <v>1</v>
      </c>
      <c r="M11" s="20">
        <f>1 - CUSTOS!$M$24</f>
        <v>1</v>
      </c>
      <c r="N11" s="20">
        <f>1 - CUSTOS!$M$24</f>
        <v>1</v>
      </c>
      <c r="O11" s="20">
        <f>1 - CUSTOS!$M$24</f>
        <v>1</v>
      </c>
      <c r="P11" s="20">
        <f>1 - CUSTOS!$M$24</f>
        <v>1</v>
      </c>
      <c r="Q11" s="20"/>
      <c r="R11" s="20">
        <f>(1 - CUSTOS!$M$24)*1</f>
        <v>1</v>
      </c>
      <c r="S11" s="20"/>
      <c r="T11" s="20">
        <f>1 - CUSTOS!$M$24</f>
        <v>1</v>
      </c>
      <c r="U11" s="20">
        <f>1 - CUSTOS!$M$24</f>
        <v>1</v>
      </c>
      <c r="V11" s="20">
        <f>1 - CUSTOS!$M$24</f>
        <v>1</v>
      </c>
      <c r="W11" s="20"/>
      <c r="X11" s="20"/>
      <c r="Y11" s="20"/>
      <c r="Z11" s="20">
        <f>1 - CUSTOS!$M$24</f>
        <v>1</v>
      </c>
      <c r="AA11" s="20"/>
      <c r="AB11" s="20"/>
    </row>
    <row r="12" spans="1:28" ht="11.25" customHeight="1" x14ac:dyDescent="0.25">
      <c r="A12" s="112"/>
      <c r="B12" s="112"/>
      <c r="C12" s="112"/>
      <c r="D12" s="23" t="s">
        <v>28</v>
      </c>
      <c r="E12" s="23" t="s">
        <v>25</v>
      </c>
      <c r="F12" s="23" t="s">
        <v>25</v>
      </c>
      <c r="G12" s="22" t="s">
        <v>69</v>
      </c>
      <c r="H12" s="22" t="s">
        <v>63</v>
      </c>
      <c r="I12" s="22">
        <f>'MERCADO TE'!$U$9</f>
        <v>4.8120000000000003</v>
      </c>
      <c r="J12" s="15"/>
      <c r="L12" s="20">
        <f>1 - CUSTOS!$M$25</f>
        <v>1</v>
      </c>
      <c r="M12" s="20">
        <f>1 - CUSTOS!$M$25</f>
        <v>1</v>
      </c>
      <c r="N12" s="20">
        <f>1 - CUSTOS!$M$25</f>
        <v>1</v>
      </c>
      <c r="O12" s="20">
        <f>1 - CUSTOS!$M$25</f>
        <v>1</v>
      </c>
      <c r="P12" s="20">
        <f>1 - CUSTOS!$M$25</f>
        <v>1</v>
      </c>
      <c r="Q12" s="20"/>
      <c r="R12" s="20">
        <f>(1 - CUSTOS!$M$25)*1</f>
        <v>1</v>
      </c>
      <c r="S12" s="20"/>
      <c r="T12" s="20">
        <f>1 - CUSTOS!$M$25</f>
        <v>1</v>
      </c>
      <c r="U12" s="20">
        <f>1 - CUSTOS!$M$25</f>
        <v>1</v>
      </c>
      <c r="V12" s="20">
        <f>1 - CUSTOS!$M$25</f>
        <v>1</v>
      </c>
      <c r="W12" s="20"/>
      <c r="X12" s="20"/>
      <c r="Y12" s="20"/>
      <c r="Z12" s="20">
        <f>1 - CUSTOS!$M$25</f>
        <v>1</v>
      </c>
      <c r="AA12" s="20"/>
      <c r="AB12" s="20"/>
    </row>
    <row r="13" spans="1:28" ht="11.25" customHeight="1" x14ac:dyDescent="0.25">
      <c r="A13" s="112"/>
      <c r="B13" s="112"/>
      <c r="C13" s="112"/>
      <c r="D13" s="23" t="s">
        <v>29</v>
      </c>
      <c r="E13" s="23" t="s">
        <v>25</v>
      </c>
      <c r="F13" s="23" t="s">
        <v>25</v>
      </c>
      <c r="G13" s="22" t="s">
        <v>69</v>
      </c>
      <c r="H13" s="22" t="s">
        <v>63</v>
      </c>
      <c r="I13" s="22">
        <f>'MERCADO TE'!$U$10</f>
        <v>0.12</v>
      </c>
      <c r="J13" s="15"/>
      <c r="L13" s="20">
        <f>1 - CUSTOS!$M$26</f>
        <v>1</v>
      </c>
      <c r="M13" s="20">
        <f>1 - CUSTOS!$M$26</f>
        <v>1</v>
      </c>
      <c r="N13" s="20">
        <f>1 - CUSTOS!$M$26</f>
        <v>1</v>
      </c>
      <c r="O13" s="20">
        <f>1 - CUSTOS!$M$26</f>
        <v>1</v>
      </c>
      <c r="P13" s="20">
        <f>1 - CUSTOS!$M$26</f>
        <v>1</v>
      </c>
      <c r="Q13" s="20"/>
      <c r="R13" s="20">
        <f>(1 - CUSTOS!$M$26)*1</f>
        <v>1</v>
      </c>
      <c r="S13" s="20"/>
      <c r="T13" s="20">
        <f>1 - CUSTOS!$M$26</f>
        <v>1</v>
      </c>
      <c r="U13" s="20">
        <f>1 - CUSTOS!$M$26</f>
        <v>1</v>
      </c>
      <c r="V13" s="20">
        <f>1 - CUSTOS!$M$26</f>
        <v>1</v>
      </c>
      <c r="W13" s="20"/>
      <c r="X13" s="20"/>
      <c r="Y13" s="20"/>
      <c r="Z13" s="20">
        <f>1 - CUSTOS!$M$26</f>
        <v>1</v>
      </c>
      <c r="AA13" s="20"/>
      <c r="AB13" s="20"/>
    </row>
    <row r="14" spans="1:28" ht="11.25" customHeight="1" x14ac:dyDescent="0.25">
      <c r="A14" s="112"/>
      <c r="B14" s="112"/>
      <c r="C14" s="112"/>
      <c r="D14" s="23" t="s">
        <v>30</v>
      </c>
      <c r="E14" s="23" t="s">
        <v>25</v>
      </c>
      <c r="F14" s="23" t="s">
        <v>25</v>
      </c>
      <c r="G14" s="22" t="s">
        <v>69</v>
      </c>
      <c r="H14" s="22" t="s">
        <v>63</v>
      </c>
      <c r="I14" s="22">
        <f>'MERCADO TE'!$U$11</f>
        <v>0.31900000000000001</v>
      </c>
      <c r="J14" s="15"/>
      <c r="L14" s="20">
        <f>1 - CUSTOS!$M$27</f>
        <v>1</v>
      </c>
      <c r="M14" s="20">
        <f>1 - CUSTOS!$M$27</f>
        <v>1</v>
      </c>
      <c r="N14" s="20">
        <f>1 - CUSTOS!$M$27</f>
        <v>1</v>
      </c>
      <c r="O14" s="20">
        <f>1 - CUSTOS!$M$27</f>
        <v>1</v>
      </c>
      <c r="P14" s="20">
        <f>1 - CUSTOS!$M$27</f>
        <v>1</v>
      </c>
      <c r="Q14" s="20"/>
      <c r="R14" s="20">
        <f>(1 - CUSTOS!$M$27)*1</f>
        <v>1</v>
      </c>
      <c r="S14" s="20"/>
      <c r="T14" s="20">
        <f>1 - CUSTOS!$M$27</f>
        <v>1</v>
      </c>
      <c r="U14" s="20">
        <f>1 - CUSTOS!$M$27</f>
        <v>1</v>
      </c>
      <c r="V14" s="20">
        <f>1 - CUSTOS!$M$27</f>
        <v>1</v>
      </c>
      <c r="W14" s="20"/>
      <c r="X14" s="20"/>
      <c r="Y14" s="20"/>
      <c r="Z14" s="20">
        <f>1 - CUSTOS!$M$27</f>
        <v>1</v>
      </c>
      <c r="AA14" s="20"/>
      <c r="AB14" s="20"/>
    </row>
    <row r="15" spans="1:28" ht="11.25" customHeight="1" x14ac:dyDescent="0.25">
      <c r="A15" s="112"/>
      <c r="B15" s="112" t="s">
        <v>78</v>
      </c>
      <c r="C15" s="112" t="s">
        <v>24</v>
      </c>
      <c r="D15" s="23" t="s">
        <v>24</v>
      </c>
      <c r="E15" s="23" t="s">
        <v>25</v>
      </c>
      <c r="F15" s="23" t="s">
        <v>25</v>
      </c>
      <c r="G15" s="22" t="s">
        <v>69</v>
      </c>
      <c r="H15" s="22" t="s">
        <v>63</v>
      </c>
      <c r="I15" s="22">
        <f>'MERCADO TE'!$U$12</f>
        <v>0</v>
      </c>
      <c r="J15" s="15"/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/>
      <c r="R15" s="20">
        <v>1</v>
      </c>
      <c r="S15" s="20"/>
      <c r="T15" s="20">
        <v>1</v>
      </c>
      <c r="U15" s="20">
        <v>1</v>
      </c>
      <c r="V15" s="20">
        <v>1</v>
      </c>
      <c r="W15" s="20"/>
      <c r="X15" s="20"/>
      <c r="Y15" s="20"/>
      <c r="Z15" s="20">
        <v>1</v>
      </c>
      <c r="AA15" s="20"/>
      <c r="AB15" s="20"/>
    </row>
    <row r="16" spans="1:28" ht="11.25" customHeight="1" x14ac:dyDescent="0.25">
      <c r="A16" s="112"/>
      <c r="B16" s="112"/>
      <c r="C16" s="112"/>
      <c r="D16" s="23" t="s">
        <v>27</v>
      </c>
      <c r="E16" s="23" t="s">
        <v>25</v>
      </c>
      <c r="F16" s="23" t="s">
        <v>25</v>
      </c>
      <c r="G16" s="22" t="s">
        <v>69</v>
      </c>
      <c r="H16" s="22" t="s">
        <v>63</v>
      </c>
      <c r="I16" s="22">
        <f>'MERCADO TE'!$U$13</f>
        <v>0</v>
      </c>
      <c r="J16" s="15"/>
      <c r="L16" s="20">
        <f>1 - CUSTOS!$M$24</f>
        <v>1</v>
      </c>
      <c r="M16" s="20">
        <f>1 - CUSTOS!$M$24</f>
        <v>1</v>
      </c>
      <c r="N16" s="20">
        <f>1 - CUSTOS!$M$24</f>
        <v>1</v>
      </c>
      <c r="O16" s="20">
        <f>1 - CUSTOS!$M$24</f>
        <v>1</v>
      </c>
      <c r="P16" s="20">
        <f>1 - CUSTOS!$M$24</f>
        <v>1</v>
      </c>
      <c r="Q16" s="20"/>
      <c r="R16" s="20">
        <f>(1 - CUSTOS!$M$24)*1</f>
        <v>1</v>
      </c>
      <c r="S16" s="20"/>
      <c r="T16" s="20">
        <f>1 - CUSTOS!$M$24</f>
        <v>1</v>
      </c>
      <c r="U16" s="20">
        <f>1 - CUSTOS!$M$24</f>
        <v>1</v>
      </c>
      <c r="V16" s="20">
        <f>1 - CUSTOS!$M$24</f>
        <v>1</v>
      </c>
      <c r="W16" s="20"/>
      <c r="X16" s="20"/>
      <c r="Y16" s="20"/>
      <c r="Z16" s="20">
        <f>1 - CUSTOS!$M$24</f>
        <v>1</v>
      </c>
      <c r="AA16" s="20"/>
      <c r="AB16" s="20"/>
    </row>
    <row r="17" spans="1:28" ht="11.25" customHeight="1" x14ac:dyDescent="0.25">
      <c r="A17" s="112"/>
      <c r="B17" s="112"/>
      <c r="C17" s="112"/>
      <c r="D17" s="23" t="s">
        <v>28</v>
      </c>
      <c r="E17" s="23" t="s">
        <v>25</v>
      </c>
      <c r="F17" s="23" t="s">
        <v>25</v>
      </c>
      <c r="G17" s="22" t="s">
        <v>69</v>
      </c>
      <c r="H17" s="22" t="s">
        <v>63</v>
      </c>
      <c r="I17" s="22">
        <f>'MERCADO TE'!$U$14</f>
        <v>0</v>
      </c>
      <c r="J17" s="15"/>
      <c r="L17" s="20">
        <f>1 - CUSTOS!$M$25</f>
        <v>1</v>
      </c>
      <c r="M17" s="20">
        <f>1 - CUSTOS!$M$25</f>
        <v>1</v>
      </c>
      <c r="N17" s="20">
        <f>1 - CUSTOS!$M$25</f>
        <v>1</v>
      </c>
      <c r="O17" s="20">
        <f>1 - CUSTOS!$M$25</f>
        <v>1</v>
      </c>
      <c r="P17" s="20">
        <f>1 - CUSTOS!$M$25</f>
        <v>1</v>
      </c>
      <c r="Q17" s="20"/>
      <c r="R17" s="20">
        <f>(1 - CUSTOS!$M$25)*1</f>
        <v>1</v>
      </c>
      <c r="S17" s="20"/>
      <c r="T17" s="20">
        <f>1 - CUSTOS!$M$25</f>
        <v>1</v>
      </c>
      <c r="U17" s="20">
        <f>1 - CUSTOS!$M$25</f>
        <v>1</v>
      </c>
      <c r="V17" s="20">
        <f>1 - CUSTOS!$M$25</f>
        <v>1</v>
      </c>
      <c r="W17" s="20"/>
      <c r="X17" s="20"/>
      <c r="Y17" s="20"/>
      <c r="Z17" s="20">
        <f>1 - CUSTOS!$M$25</f>
        <v>1</v>
      </c>
      <c r="AA17" s="20"/>
      <c r="AB17" s="20"/>
    </row>
    <row r="18" spans="1:28" ht="11.25" customHeight="1" x14ac:dyDescent="0.25">
      <c r="A18" s="112"/>
      <c r="B18" s="112"/>
      <c r="C18" s="112"/>
      <c r="D18" s="23" t="s">
        <v>29</v>
      </c>
      <c r="E18" s="23" t="s">
        <v>25</v>
      </c>
      <c r="F18" s="23" t="s">
        <v>25</v>
      </c>
      <c r="G18" s="22" t="s">
        <v>69</v>
      </c>
      <c r="H18" s="22" t="s">
        <v>63</v>
      </c>
      <c r="I18" s="22">
        <f>'MERCADO TE'!$U$15</f>
        <v>0</v>
      </c>
      <c r="J18" s="15"/>
      <c r="L18" s="20">
        <f>1 - CUSTOS!$M$26</f>
        <v>1</v>
      </c>
      <c r="M18" s="20">
        <f>1 - CUSTOS!$M$26</f>
        <v>1</v>
      </c>
      <c r="N18" s="20">
        <f>1 - CUSTOS!$M$26</f>
        <v>1</v>
      </c>
      <c r="O18" s="20">
        <f>1 - CUSTOS!$M$26</f>
        <v>1</v>
      </c>
      <c r="P18" s="20">
        <f>1 - CUSTOS!$M$26</f>
        <v>1</v>
      </c>
      <c r="Q18" s="20"/>
      <c r="R18" s="20">
        <f>(1 - CUSTOS!$M$26)*1</f>
        <v>1</v>
      </c>
      <c r="S18" s="20"/>
      <c r="T18" s="20">
        <f>1 - CUSTOS!$M$26</f>
        <v>1</v>
      </c>
      <c r="U18" s="20">
        <f>1 - CUSTOS!$M$26</f>
        <v>1</v>
      </c>
      <c r="V18" s="20">
        <f>1 - CUSTOS!$M$26</f>
        <v>1</v>
      </c>
      <c r="W18" s="20"/>
      <c r="X18" s="20"/>
      <c r="Y18" s="20"/>
      <c r="Z18" s="20">
        <f>1 - CUSTOS!$M$26</f>
        <v>1</v>
      </c>
      <c r="AA18" s="20"/>
      <c r="AB18" s="20"/>
    </row>
    <row r="19" spans="1:28" ht="11.25" customHeight="1" x14ac:dyDescent="0.25">
      <c r="A19" s="112"/>
      <c r="B19" s="112"/>
      <c r="C19" s="112"/>
      <c r="D19" s="23" t="s">
        <v>30</v>
      </c>
      <c r="E19" s="23" t="s">
        <v>25</v>
      </c>
      <c r="F19" s="23" t="s">
        <v>25</v>
      </c>
      <c r="G19" s="22" t="s">
        <v>69</v>
      </c>
      <c r="H19" s="22" t="s">
        <v>63</v>
      </c>
      <c r="I19" s="22">
        <f>'MERCADO TE'!$U$16</f>
        <v>0</v>
      </c>
      <c r="J19" s="15"/>
      <c r="L19" s="20">
        <f>1 - CUSTOS!$M$27</f>
        <v>1</v>
      </c>
      <c r="M19" s="20">
        <f>1 - CUSTOS!$M$27</f>
        <v>1</v>
      </c>
      <c r="N19" s="20">
        <f>1 - CUSTOS!$M$27</f>
        <v>1</v>
      </c>
      <c r="O19" s="20">
        <f>1 - CUSTOS!$M$27</f>
        <v>1</v>
      </c>
      <c r="P19" s="20">
        <f>1 - CUSTOS!$M$27</f>
        <v>1</v>
      </c>
      <c r="Q19" s="20"/>
      <c r="R19" s="20">
        <f>(1 - CUSTOS!$M$27)*1</f>
        <v>1</v>
      </c>
      <c r="S19" s="20"/>
      <c r="T19" s="20">
        <f>1 - CUSTOS!$M$27</f>
        <v>1</v>
      </c>
      <c r="U19" s="20">
        <f>1 - CUSTOS!$M$27</f>
        <v>1</v>
      </c>
      <c r="V19" s="20">
        <f>1 - CUSTOS!$M$27</f>
        <v>1</v>
      </c>
      <c r="W19" s="20"/>
      <c r="X19" s="20"/>
      <c r="Y19" s="20"/>
      <c r="Z19" s="20">
        <f>1 - CUSTOS!$M$27</f>
        <v>1</v>
      </c>
      <c r="AA19" s="20"/>
      <c r="AB19" s="20"/>
    </row>
    <row r="20" spans="1:28" ht="11.25" customHeight="1" x14ac:dyDescent="0.25">
      <c r="A20" s="112" t="s">
        <v>39</v>
      </c>
      <c r="B20" s="112" t="s">
        <v>62</v>
      </c>
      <c r="C20" s="112" t="s">
        <v>40</v>
      </c>
      <c r="D20" s="112" t="s">
        <v>25</v>
      </c>
      <c r="E20" s="112" t="s">
        <v>25</v>
      </c>
      <c r="F20" s="112" t="s">
        <v>25</v>
      </c>
      <c r="G20" s="22" t="s">
        <v>64</v>
      </c>
      <c r="H20" s="22" t="s">
        <v>63</v>
      </c>
      <c r="I20" s="22">
        <f>'MERCADO TE'!$U$17</f>
        <v>0</v>
      </c>
      <c r="J20" s="15"/>
      <c r="L20" s="20">
        <f>1 - CUSTOS!$M$28</f>
        <v>1</v>
      </c>
      <c r="M20" s="20">
        <f>1 - CUSTOS!$M$28</f>
        <v>1</v>
      </c>
      <c r="N20" s="20">
        <f>1 - CUSTOS!$M$28</f>
        <v>1</v>
      </c>
      <c r="O20" s="20">
        <f>1 - CUSTOS!$M$28</f>
        <v>1</v>
      </c>
      <c r="P20" s="20">
        <f>1 - CUSTOS!$M$28</f>
        <v>1</v>
      </c>
      <c r="Q20" s="20"/>
      <c r="R20" s="20">
        <f>(1 - CUSTOS!$M$28)*1</f>
        <v>1</v>
      </c>
      <c r="S20" s="20"/>
      <c r="T20" s="20">
        <f>1 - CUSTOS!$M$28</f>
        <v>1</v>
      </c>
      <c r="U20" s="20">
        <f>1 - CUSTOS!$M$28</f>
        <v>1</v>
      </c>
      <c r="V20" s="20">
        <f>1 - CUSTOS!$M$28</f>
        <v>1</v>
      </c>
      <c r="W20" s="20"/>
      <c r="X20" s="20"/>
      <c r="Y20" s="20"/>
      <c r="Z20" s="20">
        <f>1 - CUSTOS!$M$28</f>
        <v>1</v>
      </c>
      <c r="AA20" s="20"/>
      <c r="AB20" s="20"/>
    </row>
    <row r="21" spans="1:28" ht="11.25" customHeight="1" x14ac:dyDescent="0.25">
      <c r="A21" s="112"/>
      <c r="B21" s="112"/>
      <c r="C21" s="112"/>
      <c r="D21" s="112"/>
      <c r="E21" s="112"/>
      <c r="F21" s="112"/>
      <c r="G21" s="22" t="s">
        <v>75</v>
      </c>
      <c r="H21" s="22" t="s">
        <v>63</v>
      </c>
      <c r="I21" s="22">
        <f>'MERCADO TE'!$U$18</f>
        <v>0</v>
      </c>
      <c r="J21" s="15"/>
      <c r="L21" s="20">
        <f>1 - CUSTOS!$M$28</f>
        <v>1</v>
      </c>
      <c r="M21" s="20">
        <f>1 - CUSTOS!$M$28</f>
        <v>1</v>
      </c>
      <c r="N21" s="20">
        <f>1 - CUSTOS!$M$28</f>
        <v>1</v>
      </c>
      <c r="O21" s="20">
        <f>1 - CUSTOS!$M$28</f>
        <v>1</v>
      </c>
      <c r="P21" s="20">
        <f>1 - CUSTOS!$M$28</f>
        <v>1</v>
      </c>
      <c r="Q21" s="20"/>
      <c r="R21" s="20">
        <f>(1 - CUSTOS!$M$28)*1</f>
        <v>1</v>
      </c>
      <c r="S21" s="20"/>
      <c r="T21" s="20">
        <f>1 - CUSTOS!$M$28</f>
        <v>1</v>
      </c>
      <c r="U21" s="20">
        <f>1 - CUSTOS!$M$28</f>
        <v>1</v>
      </c>
      <c r="V21" s="20">
        <f>1 - CUSTOS!$M$28</f>
        <v>1</v>
      </c>
      <c r="W21" s="20"/>
      <c r="X21" s="20"/>
      <c r="Y21" s="20"/>
      <c r="Z21" s="20">
        <f>1 - CUSTOS!$M$28</f>
        <v>1</v>
      </c>
      <c r="AA21" s="20"/>
      <c r="AB21" s="20"/>
    </row>
    <row r="22" spans="1:28" ht="11.25" customHeight="1" x14ac:dyDescent="0.25">
      <c r="A22" s="112"/>
      <c r="B22" s="112"/>
      <c r="C22" s="112"/>
      <c r="D22" s="112"/>
      <c r="E22" s="112"/>
      <c r="F22" s="112"/>
      <c r="G22" s="22" t="s">
        <v>65</v>
      </c>
      <c r="H22" s="22" t="s">
        <v>63</v>
      </c>
      <c r="I22" s="22">
        <f>'MERCADO TE'!$U$19</f>
        <v>0</v>
      </c>
      <c r="J22" s="15"/>
      <c r="L22" s="20">
        <f>1 - CUSTOS!$M$28</f>
        <v>1</v>
      </c>
      <c r="M22" s="20">
        <f>1 - CUSTOS!$M$28</f>
        <v>1</v>
      </c>
      <c r="N22" s="20">
        <f>1 - CUSTOS!$M$28</f>
        <v>1</v>
      </c>
      <c r="O22" s="20">
        <f>1 - CUSTOS!$M$28</f>
        <v>1</v>
      </c>
      <c r="P22" s="20">
        <f>1 - CUSTOS!$M$28</f>
        <v>1</v>
      </c>
      <c r="Q22" s="20"/>
      <c r="R22" s="20">
        <f>(1 - CUSTOS!$M$28)*1</f>
        <v>1</v>
      </c>
      <c r="S22" s="20"/>
      <c r="T22" s="20">
        <f>1 - CUSTOS!$M$28</f>
        <v>1</v>
      </c>
      <c r="U22" s="20">
        <f>1 - CUSTOS!$M$28</f>
        <v>1</v>
      </c>
      <c r="V22" s="20">
        <f>1 - CUSTOS!$M$28</f>
        <v>1</v>
      </c>
      <c r="W22" s="20"/>
      <c r="X22" s="20"/>
      <c r="Y22" s="20"/>
      <c r="Z22" s="20">
        <f>1 - CUSTOS!$M$28</f>
        <v>1</v>
      </c>
      <c r="AA22" s="20"/>
      <c r="AB22" s="20"/>
    </row>
    <row r="23" spans="1:28" ht="11.25" customHeight="1" x14ac:dyDescent="0.25">
      <c r="A23" s="112"/>
      <c r="B23" s="23" t="s">
        <v>76</v>
      </c>
      <c r="C23" s="23" t="s">
        <v>40</v>
      </c>
      <c r="D23" s="23" t="s">
        <v>25</v>
      </c>
      <c r="E23" s="23" t="s">
        <v>25</v>
      </c>
      <c r="F23" s="23" t="s">
        <v>25</v>
      </c>
      <c r="G23" s="22" t="s">
        <v>69</v>
      </c>
      <c r="H23" s="22" t="s">
        <v>63</v>
      </c>
      <c r="I23" s="22">
        <f>'MERCADO TE'!$U$20</f>
        <v>668.58</v>
      </c>
      <c r="J23" s="15"/>
      <c r="L23" s="20">
        <f>1 - CUSTOS!$M$28</f>
        <v>1</v>
      </c>
      <c r="M23" s="20">
        <f>1 - CUSTOS!$M$28</f>
        <v>1</v>
      </c>
      <c r="N23" s="20">
        <f>1 - CUSTOS!$M$28</f>
        <v>1</v>
      </c>
      <c r="O23" s="20">
        <f>1 - CUSTOS!$M$28</f>
        <v>1</v>
      </c>
      <c r="P23" s="20">
        <f>1 - CUSTOS!$M$28</f>
        <v>1</v>
      </c>
      <c r="Q23" s="20"/>
      <c r="R23" s="20">
        <f>(1 - CUSTOS!$M$28)*1</f>
        <v>1</v>
      </c>
      <c r="S23" s="20"/>
      <c r="T23" s="20">
        <f>1 - CUSTOS!$M$28</f>
        <v>1</v>
      </c>
      <c r="U23" s="20">
        <f>1 - CUSTOS!$M$28</f>
        <v>1</v>
      </c>
      <c r="V23" s="20">
        <f>1 - CUSTOS!$M$28</f>
        <v>1</v>
      </c>
      <c r="W23" s="20"/>
      <c r="X23" s="20"/>
      <c r="Y23" s="20"/>
      <c r="Z23" s="20">
        <f>1 - CUSTOS!$M$28</f>
        <v>1</v>
      </c>
      <c r="AA23" s="20"/>
      <c r="AB23" s="20"/>
    </row>
    <row r="24" spans="1:28" ht="11.25" customHeight="1" x14ac:dyDescent="0.25">
      <c r="A24" s="112"/>
      <c r="B24" s="112" t="s">
        <v>62</v>
      </c>
      <c r="C24" s="112" t="s">
        <v>40</v>
      </c>
      <c r="D24" s="112" t="s">
        <v>80</v>
      </c>
      <c r="E24" s="112" t="s">
        <v>25</v>
      </c>
      <c r="F24" s="112" t="s">
        <v>25</v>
      </c>
      <c r="G24" s="22" t="s">
        <v>64</v>
      </c>
      <c r="H24" s="22" t="s">
        <v>63</v>
      </c>
      <c r="I24" s="22">
        <f>'MERCADO TE'!$U$21</f>
        <v>0</v>
      </c>
      <c r="J24" s="15"/>
      <c r="L24" s="20">
        <f>1 - CUSTOS!$M$29</f>
        <v>1</v>
      </c>
      <c r="M24" s="20">
        <f>1 - CUSTOS!$M$29</f>
        <v>1</v>
      </c>
      <c r="N24" s="20">
        <f>1 - CUSTOS!$M$29</f>
        <v>1</v>
      </c>
      <c r="O24" s="20">
        <f>1 - CUSTOS!$M$29</f>
        <v>1</v>
      </c>
      <c r="P24" s="20">
        <f>1 - CUSTOS!$M$29</f>
        <v>1</v>
      </c>
      <c r="Q24" s="20"/>
      <c r="R24" s="20">
        <f>(1 - CUSTOS!$M$29)*1</f>
        <v>1</v>
      </c>
      <c r="S24" s="20"/>
      <c r="T24" s="20">
        <f>1 - CUSTOS!$M$29</f>
        <v>1</v>
      </c>
      <c r="U24" s="20">
        <f>1 - CUSTOS!$M$29</f>
        <v>1</v>
      </c>
      <c r="V24" s="20">
        <f>1 - CUSTOS!$M$29</f>
        <v>1</v>
      </c>
      <c r="W24" s="20"/>
      <c r="X24" s="20"/>
      <c r="Y24" s="20"/>
      <c r="Z24" s="20">
        <f>1 - CUSTOS!$M$29</f>
        <v>1</v>
      </c>
      <c r="AA24" s="20"/>
      <c r="AB24" s="20"/>
    </row>
    <row r="25" spans="1:28" ht="11.25" customHeight="1" x14ac:dyDescent="0.25">
      <c r="A25" s="112"/>
      <c r="B25" s="112"/>
      <c r="C25" s="112"/>
      <c r="D25" s="112"/>
      <c r="E25" s="112"/>
      <c r="F25" s="112"/>
      <c r="G25" s="22" t="s">
        <v>75</v>
      </c>
      <c r="H25" s="22" t="s">
        <v>63</v>
      </c>
      <c r="I25" s="22">
        <f>'MERCADO TE'!$U$22</f>
        <v>0</v>
      </c>
      <c r="J25" s="15"/>
      <c r="L25" s="20">
        <f>1 - CUSTOS!$M$29</f>
        <v>1</v>
      </c>
      <c r="M25" s="20">
        <f>1 - CUSTOS!$M$29</f>
        <v>1</v>
      </c>
      <c r="N25" s="20">
        <f>1 - CUSTOS!$M$29</f>
        <v>1</v>
      </c>
      <c r="O25" s="20">
        <f>1 - CUSTOS!$M$29</f>
        <v>1</v>
      </c>
      <c r="P25" s="20">
        <f>1 - CUSTOS!$M$29</f>
        <v>1</v>
      </c>
      <c r="Q25" s="20"/>
      <c r="R25" s="20">
        <f>(1 - CUSTOS!$M$29)*1</f>
        <v>1</v>
      </c>
      <c r="S25" s="20"/>
      <c r="T25" s="20">
        <f>1 - CUSTOS!$M$29</f>
        <v>1</v>
      </c>
      <c r="U25" s="20">
        <f>1 - CUSTOS!$M$29</f>
        <v>1</v>
      </c>
      <c r="V25" s="20">
        <f>1 - CUSTOS!$M$29</f>
        <v>1</v>
      </c>
      <c r="W25" s="20"/>
      <c r="X25" s="20"/>
      <c r="Y25" s="20"/>
      <c r="Z25" s="20">
        <f>1 - CUSTOS!$M$29</f>
        <v>1</v>
      </c>
      <c r="AA25" s="20"/>
      <c r="AB25" s="20"/>
    </row>
    <row r="26" spans="1:28" ht="11.25" customHeight="1" x14ac:dyDescent="0.25">
      <c r="A26" s="112"/>
      <c r="B26" s="112"/>
      <c r="C26" s="112"/>
      <c r="D26" s="112"/>
      <c r="E26" s="112"/>
      <c r="F26" s="112"/>
      <c r="G26" s="22" t="s">
        <v>65</v>
      </c>
      <c r="H26" s="22" t="s">
        <v>63</v>
      </c>
      <c r="I26" s="22">
        <f>'MERCADO TE'!$U$23</f>
        <v>0</v>
      </c>
      <c r="J26" s="15"/>
      <c r="L26" s="20">
        <f>1 - CUSTOS!$M$29</f>
        <v>1</v>
      </c>
      <c r="M26" s="20">
        <f>1 - CUSTOS!$M$29</f>
        <v>1</v>
      </c>
      <c r="N26" s="20">
        <f>1 - CUSTOS!$M$29</f>
        <v>1</v>
      </c>
      <c r="O26" s="20">
        <f>1 - CUSTOS!$M$29</f>
        <v>1</v>
      </c>
      <c r="P26" s="20">
        <f>1 - CUSTOS!$M$29</f>
        <v>1</v>
      </c>
      <c r="Q26" s="20"/>
      <c r="R26" s="20">
        <f>(1 - CUSTOS!$M$29)*1</f>
        <v>1</v>
      </c>
      <c r="S26" s="20"/>
      <c r="T26" s="20">
        <f>1 - CUSTOS!$M$29</f>
        <v>1</v>
      </c>
      <c r="U26" s="20">
        <f>1 - CUSTOS!$M$29</f>
        <v>1</v>
      </c>
      <c r="V26" s="20">
        <f>1 - CUSTOS!$M$29</f>
        <v>1</v>
      </c>
      <c r="W26" s="20"/>
      <c r="X26" s="20"/>
      <c r="Y26" s="20"/>
      <c r="Z26" s="20">
        <f>1 - CUSTOS!$M$29</f>
        <v>1</v>
      </c>
      <c r="AA26" s="20"/>
      <c r="AB26" s="20"/>
    </row>
    <row r="27" spans="1:28" ht="11.25" customHeight="1" x14ac:dyDescent="0.25">
      <c r="A27" s="112"/>
      <c r="B27" s="23" t="s">
        <v>76</v>
      </c>
      <c r="C27" s="23" t="s">
        <v>40</v>
      </c>
      <c r="D27" s="23" t="s">
        <v>80</v>
      </c>
      <c r="E27" s="23" t="s">
        <v>25</v>
      </c>
      <c r="F27" s="23" t="s">
        <v>25</v>
      </c>
      <c r="G27" s="22" t="s">
        <v>69</v>
      </c>
      <c r="H27" s="22" t="s">
        <v>63</v>
      </c>
      <c r="I27" s="22">
        <f>'MERCADO TE'!$U$24</f>
        <v>0</v>
      </c>
      <c r="J27" s="15"/>
      <c r="L27" s="20">
        <f>1 - CUSTOS!$M$29</f>
        <v>1</v>
      </c>
      <c r="M27" s="20">
        <f>1 - CUSTOS!$M$29</f>
        <v>1</v>
      </c>
      <c r="N27" s="20">
        <f>1 - CUSTOS!$M$29</f>
        <v>1</v>
      </c>
      <c r="O27" s="20">
        <f>1 - CUSTOS!$M$29</f>
        <v>1</v>
      </c>
      <c r="P27" s="20">
        <f>1 - CUSTOS!$M$29</f>
        <v>1</v>
      </c>
      <c r="Q27" s="20"/>
      <c r="R27" s="20">
        <f>(1 - CUSTOS!$M$29)*1</f>
        <v>1</v>
      </c>
      <c r="S27" s="20"/>
      <c r="T27" s="20">
        <f>1 - CUSTOS!$M$29</f>
        <v>1</v>
      </c>
      <c r="U27" s="20">
        <f>1 - CUSTOS!$M$29</f>
        <v>1</v>
      </c>
      <c r="V27" s="20">
        <f>1 - CUSTOS!$M$29</f>
        <v>1</v>
      </c>
      <c r="W27" s="20"/>
      <c r="X27" s="20"/>
      <c r="Y27" s="20"/>
      <c r="Z27" s="20">
        <f>1 - CUSTOS!$M$29</f>
        <v>1</v>
      </c>
      <c r="AA27" s="20"/>
      <c r="AB27" s="20"/>
    </row>
    <row r="28" spans="1:28" ht="11.25" customHeight="1" x14ac:dyDescent="0.25">
      <c r="A28" s="112"/>
      <c r="B28" s="112" t="s">
        <v>62</v>
      </c>
      <c r="C28" s="112" t="s">
        <v>40</v>
      </c>
      <c r="D28" s="112" t="s">
        <v>81</v>
      </c>
      <c r="E28" s="112" t="s">
        <v>25</v>
      </c>
      <c r="F28" s="112" t="s">
        <v>25</v>
      </c>
      <c r="G28" s="22" t="s">
        <v>64</v>
      </c>
      <c r="H28" s="22" t="s">
        <v>63</v>
      </c>
      <c r="I28" s="22">
        <f>'MERCADO TE'!$U$25</f>
        <v>0</v>
      </c>
      <c r="J28" s="15"/>
      <c r="L28" s="20">
        <f>1 - CUSTOS!$M$30</f>
        <v>1</v>
      </c>
      <c r="M28" s="20">
        <f>1 - CUSTOS!$M$30</f>
        <v>1</v>
      </c>
      <c r="N28" s="20">
        <f>1 - CUSTOS!$M$30</f>
        <v>1</v>
      </c>
      <c r="O28" s="20">
        <f>1 - CUSTOS!$M$30</f>
        <v>1</v>
      </c>
      <c r="P28" s="20">
        <f>1 - CUSTOS!$M$30</f>
        <v>1</v>
      </c>
      <c r="Q28" s="20"/>
      <c r="R28" s="20">
        <f>(1 - CUSTOS!$M$30)*1</f>
        <v>1</v>
      </c>
      <c r="S28" s="20"/>
      <c r="T28" s="20">
        <f>1 - CUSTOS!$M$30</f>
        <v>1</v>
      </c>
      <c r="U28" s="20">
        <f>1 - CUSTOS!$M$30</f>
        <v>1</v>
      </c>
      <c r="V28" s="20">
        <f>1 - CUSTOS!$M$30</f>
        <v>1</v>
      </c>
      <c r="W28" s="20"/>
      <c r="X28" s="20"/>
      <c r="Y28" s="20"/>
      <c r="Z28" s="20">
        <f>1 - CUSTOS!$M$30</f>
        <v>1</v>
      </c>
      <c r="AA28" s="20"/>
      <c r="AB28" s="20"/>
    </row>
    <row r="29" spans="1:28" ht="11.25" customHeight="1" x14ac:dyDescent="0.25">
      <c r="A29" s="112"/>
      <c r="B29" s="112"/>
      <c r="C29" s="112"/>
      <c r="D29" s="112"/>
      <c r="E29" s="112"/>
      <c r="F29" s="112"/>
      <c r="G29" s="22" t="s">
        <v>75</v>
      </c>
      <c r="H29" s="22" t="s">
        <v>63</v>
      </c>
      <c r="I29" s="22">
        <f>'MERCADO TE'!$U$26</f>
        <v>0</v>
      </c>
      <c r="J29" s="15"/>
      <c r="L29" s="20">
        <f>1 - CUSTOS!$M$30</f>
        <v>1</v>
      </c>
      <c r="M29" s="20">
        <f>1 - CUSTOS!$M$30</f>
        <v>1</v>
      </c>
      <c r="N29" s="20">
        <f>1 - CUSTOS!$M$30</f>
        <v>1</v>
      </c>
      <c r="O29" s="20">
        <f>1 - CUSTOS!$M$30</f>
        <v>1</v>
      </c>
      <c r="P29" s="20">
        <f>1 - CUSTOS!$M$30</f>
        <v>1</v>
      </c>
      <c r="Q29" s="20"/>
      <c r="R29" s="20">
        <f>(1 - CUSTOS!$M$30)*1</f>
        <v>1</v>
      </c>
      <c r="S29" s="20"/>
      <c r="T29" s="20">
        <f>1 - CUSTOS!$M$30</f>
        <v>1</v>
      </c>
      <c r="U29" s="20">
        <f>1 - CUSTOS!$M$30</f>
        <v>1</v>
      </c>
      <c r="V29" s="20">
        <f>1 - CUSTOS!$M$30</f>
        <v>1</v>
      </c>
      <c r="W29" s="20"/>
      <c r="X29" s="20"/>
      <c r="Y29" s="20"/>
      <c r="Z29" s="20">
        <f>1 - CUSTOS!$M$30</f>
        <v>1</v>
      </c>
      <c r="AA29" s="20"/>
      <c r="AB29" s="20"/>
    </row>
    <row r="30" spans="1:28" ht="11.25" customHeight="1" x14ac:dyDescent="0.25">
      <c r="A30" s="112"/>
      <c r="B30" s="112"/>
      <c r="C30" s="112"/>
      <c r="D30" s="112"/>
      <c r="E30" s="112"/>
      <c r="F30" s="112"/>
      <c r="G30" s="22" t="s">
        <v>65</v>
      </c>
      <c r="H30" s="22" t="s">
        <v>63</v>
      </c>
      <c r="I30" s="22">
        <f>'MERCADO TE'!$U$27</f>
        <v>0</v>
      </c>
      <c r="J30" s="15"/>
      <c r="L30" s="20">
        <f>1 - CUSTOS!$M$30</f>
        <v>1</v>
      </c>
      <c r="M30" s="20">
        <f>1 - CUSTOS!$M$30</f>
        <v>1</v>
      </c>
      <c r="N30" s="20">
        <f>1 - CUSTOS!$M$30</f>
        <v>1</v>
      </c>
      <c r="O30" s="20">
        <f>1 - CUSTOS!$M$30</f>
        <v>1</v>
      </c>
      <c r="P30" s="20">
        <f>1 - CUSTOS!$M$30</f>
        <v>1</v>
      </c>
      <c r="Q30" s="20"/>
      <c r="R30" s="20">
        <f>(1 - CUSTOS!$M$30)*1</f>
        <v>1</v>
      </c>
      <c r="S30" s="20"/>
      <c r="T30" s="20">
        <f>1 - CUSTOS!$M$30</f>
        <v>1</v>
      </c>
      <c r="U30" s="20">
        <f>1 - CUSTOS!$M$30</f>
        <v>1</v>
      </c>
      <c r="V30" s="20">
        <f>1 - CUSTOS!$M$30</f>
        <v>1</v>
      </c>
      <c r="W30" s="20"/>
      <c r="X30" s="20"/>
      <c r="Y30" s="20"/>
      <c r="Z30" s="20">
        <f>1 - CUSTOS!$M$30</f>
        <v>1</v>
      </c>
      <c r="AA30" s="20"/>
      <c r="AB30" s="20"/>
    </row>
    <row r="31" spans="1:28" ht="11.25" customHeight="1" x14ac:dyDescent="0.25">
      <c r="A31" s="112"/>
      <c r="B31" s="23" t="s">
        <v>76</v>
      </c>
      <c r="C31" s="23" t="s">
        <v>40</v>
      </c>
      <c r="D31" s="23" t="s">
        <v>81</v>
      </c>
      <c r="E31" s="23" t="s">
        <v>25</v>
      </c>
      <c r="F31" s="23" t="s">
        <v>25</v>
      </c>
      <c r="G31" s="22" t="s">
        <v>69</v>
      </c>
      <c r="H31" s="22" t="s">
        <v>63</v>
      </c>
      <c r="I31" s="22">
        <f>'MERCADO TE'!$U$28</f>
        <v>0</v>
      </c>
      <c r="J31" s="15"/>
      <c r="L31" s="20">
        <f>1 - CUSTOS!$M$30</f>
        <v>1</v>
      </c>
      <c r="M31" s="20">
        <f>1 - CUSTOS!$M$30</f>
        <v>1</v>
      </c>
      <c r="N31" s="20">
        <f>1 - CUSTOS!$M$30</f>
        <v>1</v>
      </c>
      <c r="O31" s="20">
        <f>1 - CUSTOS!$M$30</f>
        <v>1</v>
      </c>
      <c r="P31" s="20">
        <f>1 - CUSTOS!$M$30</f>
        <v>1</v>
      </c>
      <c r="Q31" s="20"/>
      <c r="R31" s="20">
        <f>(1 - CUSTOS!$M$30)*1</f>
        <v>1</v>
      </c>
      <c r="S31" s="20"/>
      <c r="T31" s="20">
        <f>1 - CUSTOS!$M$30</f>
        <v>1</v>
      </c>
      <c r="U31" s="20">
        <f>1 - CUSTOS!$M$30</f>
        <v>1</v>
      </c>
      <c r="V31" s="20">
        <f>1 - CUSTOS!$M$30</f>
        <v>1</v>
      </c>
      <c r="W31" s="20"/>
      <c r="X31" s="20"/>
      <c r="Y31" s="20"/>
      <c r="Z31" s="20">
        <f>1 - CUSTOS!$M$30</f>
        <v>1</v>
      </c>
      <c r="AA31" s="20"/>
      <c r="AB31" s="20"/>
    </row>
    <row r="32" spans="1:28" ht="11.25" customHeight="1" x14ac:dyDescent="0.25">
      <c r="A32" s="112"/>
      <c r="B32" s="112" t="s">
        <v>78</v>
      </c>
      <c r="C32" s="112" t="s">
        <v>40</v>
      </c>
      <c r="D32" s="23" t="s">
        <v>25</v>
      </c>
      <c r="E32" s="23" t="s">
        <v>25</v>
      </c>
      <c r="F32" s="23" t="s">
        <v>25</v>
      </c>
      <c r="G32" s="22" t="s">
        <v>69</v>
      </c>
      <c r="H32" s="22" t="s">
        <v>63</v>
      </c>
      <c r="I32" s="22">
        <f>'MERCADO TE'!$U$29</f>
        <v>0</v>
      </c>
      <c r="J32" s="15"/>
      <c r="L32" s="20">
        <f>1 - CUSTOS!$M$28</f>
        <v>1</v>
      </c>
      <c r="M32" s="20">
        <f>1 - CUSTOS!$M$28</f>
        <v>1</v>
      </c>
      <c r="N32" s="20">
        <f>1 - CUSTOS!$M$28</f>
        <v>1</v>
      </c>
      <c r="O32" s="20">
        <f>1 - CUSTOS!$M$28</f>
        <v>1</v>
      </c>
      <c r="P32" s="20">
        <f>1 - CUSTOS!$M$28</f>
        <v>1</v>
      </c>
      <c r="Q32" s="20"/>
      <c r="R32" s="20">
        <f>(1 - CUSTOS!$M$28)*1</f>
        <v>1</v>
      </c>
      <c r="S32" s="20"/>
      <c r="T32" s="20">
        <f>1 - CUSTOS!$M$28</f>
        <v>1</v>
      </c>
      <c r="U32" s="20">
        <f>1 - CUSTOS!$M$28</f>
        <v>1</v>
      </c>
      <c r="V32" s="20">
        <f>1 - CUSTOS!$M$28</f>
        <v>1</v>
      </c>
      <c r="W32" s="20"/>
      <c r="X32" s="20"/>
      <c r="Y32" s="20"/>
      <c r="Z32" s="20">
        <f>1 - CUSTOS!$M$28</f>
        <v>1</v>
      </c>
      <c r="AA32" s="20"/>
      <c r="AB32" s="20"/>
    </row>
    <row r="33" spans="1:28" ht="11.25" customHeight="1" x14ac:dyDescent="0.25">
      <c r="A33" s="112"/>
      <c r="B33" s="112"/>
      <c r="C33" s="112"/>
      <c r="D33" s="23" t="s">
        <v>80</v>
      </c>
      <c r="E33" s="23" t="s">
        <v>25</v>
      </c>
      <c r="F33" s="23" t="s">
        <v>25</v>
      </c>
      <c r="G33" s="22" t="s">
        <v>69</v>
      </c>
      <c r="H33" s="22" t="s">
        <v>63</v>
      </c>
      <c r="I33" s="22">
        <f>'MERCADO TE'!$U$30</f>
        <v>0</v>
      </c>
      <c r="J33" s="15"/>
      <c r="L33" s="20">
        <f>1 - CUSTOS!$M$29</f>
        <v>1</v>
      </c>
      <c r="M33" s="20">
        <f>1 - CUSTOS!$M$29</f>
        <v>1</v>
      </c>
      <c r="N33" s="20">
        <f>1 - CUSTOS!$M$29</f>
        <v>1</v>
      </c>
      <c r="O33" s="20">
        <f>1 - CUSTOS!$M$29</f>
        <v>1</v>
      </c>
      <c r="P33" s="20">
        <f>1 - CUSTOS!$M$29</f>
        <v>1</v>
      </c>
      <c r="Q33" s="20"/>
      <c r="R33" s="20">
        <f>(1 - CUSTOS!$M$29)*1</f>
        <v>1</v>
      </c>
      <c r="S33" s="20"/>
      <c r="T33" s="20">
        <f>1 - CUSTOS!$M$29</f>
        <v>1</v>
      </c>
      <c r="U33" s="20">
        <f>1 - CUSTOS!$M$29</f>
        <v>1</v>
      </c>
      <c r="V33" s="20">
        <f>1 - CUSTOS!$M$29</f>
        <v>1</v>
      </c>
      <c r="W33" s="20"/>
      <c r="X33" s="20"/>
      <c r="Y33" s="20"/>
      <c r="Z33" s="20">
        <f>1 - CUSTOS!$M$29</f>
        <v>1</v>
      </c>
      <c r="AA33" s="20"/>
      <c r="AB33" s="20"/>
    </row>
    <row r="34" spans="1:28" ht="11.25" customHeight="1" x14ac:dyDescent="0.25">
      <c r="A34" s="112"/>
      <c r="B34" s="112"/>
      <c r="C34" s="112"/>
      <c r="D34" s="23" t="s">
        <v>81</v>
      </c>
      <c r="E34" s="23" t="s">
        <v>25</v>
      </c>
      <c r="F34" s="23" t="s">
        <v>25</v>
      </c>
      <c r="G34" s="22" t="s">
        <v>69</v>
      </c>
      <c r="H34" s="22" t="s">
        <v>63</v>
      </c>
      <c r="I34" s="22">
        <f>'MERCADO TE'!$U$31</f>
        <v>0</v>
      </c>
      <c r="J34" s="15"/>
      <c r="L34" s="20">
        <f>1 - CUSTOS!$M$30</f>
        <v>1</v>
      </c>
      <c r="M34" s="20">
        <f>1 - CUSTOS!$M$30</f>
        <v>1</v>
      </c>
      <c r="N34" s="20">
        <f>1 - CUSTOS!$M$30</f>
        <v>1</v>
      </c>
      <c r="O34" s="20">
        <f>1 - CUSTOS!$M$30</f>
        <v>1</v>
      </c>
      <c r="P34" s="20">
        <f>1 - CUSTOS!$M$30</f>
        <v>1</v>
      </c>
      <c r="Q34" s="20"/>
      <c r="R34" s="20">
        <f>(1 - CUSTOS!$M$30)*1</f>
        <v>1</v>
      </c>
      <c r="S34" s="20"/>
      <c r="T34" s="20">
        <f>1 - CUSTOS!$M$30</f>
        <v>1</v>
      </c>
      <c r="U34" s="20">
        <f>1 - CUSTOS!$M$30</f>
        <v>1</v>
      </c>
      <c r="V34" s="20">
        <f>1 - CUSTOS!$M$30</f>
        <v>1</v>
      </c>
      <c r="W34" s="20"/>
      <c r="X34" s="20"/>
      <c r="Y34" s="20"/>
      <c r="Z34" s="20">
        <f>1 - CUSTOS!$M$30</f>
        <v>1</v>
      </c>
      <c r="AA34" s="20"/>
      <c r="AB34" s="20"/>
    </row>
    <row r="35" spans="1:28" ht="11.25" customHeight="1" x14ac:dyDescent="0.25">
      <c r="A35" s="112" t="s">
        <v>31</v>
      </c>
      <c r="B35" s="112" t="s">
        <v>62</v>
      </c>
      <c r="C35" s="112" t="s">
        <v>25</v>
      </c>
      <c r="D35" s="112" t="s">
        <v>25</v>
      </c>
      <c r="E35" s="112" t="s">
        <v>25</v>
      </c>
      <c r="F35" s="112" t="s">
        <v>25</v>
      </c>
      <c r="G35" s="22" t="s">
        <v>64</v>
      </c>
      <c r="H35" s="22" t="s">
        <v>63</v>
      </c>
      <c r="I35" s="22">
        <f>'MERCADO TE'!$U$32</f>
        <v>0</v>
      </c>
      <c r="J35" s="15"/>
      <c r="L35" s="20">
        <f>1 - CUSTOS!$M$31</f>
        <v>1</v>
      </c>
      <c r="M35" s="20">
        <f>1 - CUSTOS!$M$31</f>
        <v>1</v>
      </c>
      <c r="N35" s="20">
        <f>1 - CUSTOS!$M$31</f>
        <v>1</v>
      </c>
      <c r="O35" s="20">
        <f>1 - CUSTOS!$M$31</f>
        <v>1</v>
      </c>
      <c r="P35" s="20">
        <f>1 - CUSTOS!$M$31</f>
        <v>1</v>
      </c>
      <c r="Q35" s="20"/>
      <c r="R35" s="20">
        <f>(1 - CUSTOS!$M$31)*1</f>
        <v>1</v>
      </c>
      <c r="S35" s="20"/>
      <c r="T35" s="20">
        <f>1 - CUSTOS!$M$31</f>
        <v>1</v>
      </c>
      <c r="U35" s="20">
        <f>1 - CUSTOS!$M$31</f>
        <v>1</v>
      </c>
      <c r="V35" s="20">
        <f>1 - CUSTOS!$M$31</f>
        <v>1</v>
      </c>
      <c r="W35" s="20"/>
      <c r="X35" s="20"/>
      <c r="Y35" s="20"/>
      <c r="Z35" s="20">
        <f>1 - CUSTOS!$M$31</f>
        <v>1</v>
      </c>
      <c r="AA35" s="20"/>
      <c r="AB35" s="20"/>
    </row>
    <row r="36" spans="1:28" ht="11.25" customHeight="1" x14ac:dyDescent="0.25">
      <c r="A36" s="112"/>
      <c r="B36" s="112"/>
      <c r="C36" s="112"/>
      <c r="D36" s="112"/>
      <c r="E36" s="112"/>
      <c r="F36" s="112"/>
      <c r="G36" s="22" t="s">
        <v>75</v>
      </c>
      <c r="H36" s="22" t="s">
        <v>63</v>
      </c>
      <c r="I36" s="22">
        <f>'MERCADO TE'!$U$33</f>
        <v>0</v>
      </c>
      <c r="J36" s="15"/>
      <c r="L36" s="20">
        <f>1 - CUSTOS!$M$31</f>
        <v>1</v>
      </c>
      <c r="M36" s="20">
        <f>1 - CUSTOS!$M$31</f>
        <v>1</v>
      </c>
      <c r="N36" s="20">
        <f>1 - CUSTOS!$M$31</f>
        <v>1</v>
      </c>
      <c r="O36" s="20">
        <f>1 - CUSTOS!$M$31</f>
        <v>1</v>
      </c>
      <c r="P36" s="20">
        <f>1 - CUSTOS!$M$31</f>
        <v>1</v>
      </c>
      <c r="Q36" s="20"/>
      <c r="R36" s="20">
        <f>(1 - CUSTOS!$M$31)*1</f>
        <v>1</v>
      </c>
      <c r="S36" s="20"/>
      <c r="T36" s="20">
        <f>1 - CUSTOS!$M$31</f>
        <v>1</v>
      </c>
      <c r="U36" s="20">
        <f>1 - CUSTOS!$M$31</f>
        <v>1</v>
      </c>
      <c r="V36" s="20">
        <f>1 - CUSTOS!$M$31</f>
        <v>1</v>
      </c>
      <c r="W36" s="20"/>
      <c r="X36" s="20"/>
      <c r="Y36" s="20"/>
      <c r="Z36" s="20">
        <f>1 - CUSTOS!$M$31</f>
        <v>1</v>
      </c>
      <c r="AA36" s="20"/>
      <c r="AB36" s="20"/>
    </row>
    <row r="37" spans="1:28" ht="11.25" customHeight="1" x14ac:dyDescent="0.25">
      <c r="A37" s="112"/>
      <c r="B37" s="112"/>
      <c r="C37" s="112"/>
      <c r="D37" s="112"/>
      <c r="E37" s="112"/>
      <c r="F37" s="112"/>
      <c r="G37" s="22" t="s">
        <v>65</v>
      </c>
      <c r="H37" s="22" t="s">
        <v>63</v>
      </c>
      <c r="I37" s="22">
        <f>'MERCADO TE'!$U$34</f>
        <v>0</v>
      </c>
      <c r="J37" s="15"/>
      <c r="L37" s="20">
        <f>1 - CUSTOS!$M$31</f>
        <v>1</v>
      </c>
      <c r="M37" s="20">
        <f>1 - CUSTOS!$M$31</f>
        <v>1</v>
      </c>
      <c r="N37" s="20">
        <f>1 - CUSTOS!$M$31</f>
        <v>1</v>
      </c>
      <c r="O37" s="20">
        <f>1 - CUSTOS!$M$31</f>
        <v>1</v>
      </c>
      <c r="P37" s="20">
        <f>1 - CUSTOS!$M$31</f>
        <v>1</v>
      </c>
      <c r="Q37" s="20"/>
      <c r="R37" s="20">
        <f>(1 - CUSTOS!$M$31)*1</f>
        <v>1</v>
      </c>
      <c r="S37" s="20"/>
      <c r="T37" s="20">
        <f>1 - CUSTOS!$M$31</f>
        <v>1</v>
      </c>
      <c r="U37" s="20">
        <f>1 - CUSTOS!$M$31</f>
        <v>1</v>
      </c>
      <c r="V37" s="20">
        <f>1 - CUSTOS!$M$31</f>
        <v>1</v>
      </c>
      <c r="W37" s="20"/>
      <c r="X37" s="20"/>
      <c r="Y37" s="20"/>
      <c r="Z37" s="20">
        <f>1 - CUSTOS!$M$31</f>
        <v>1</v>
      </c>
      <c r="AA37" s="20"/>
      <c r="AB37" s="20"/>
    </row>
    <row r="38" spans="1:28" ht="11.25" customHeight="1" x14ac:dyDescent="0.25">
      <c r="A38" s="112"/>
      <c r="B38" s="23" t="s">
        <v>76</v>
      </c>
      <c r="C38" s="23" t="s">
        <v>25</v>
      </c>
      <c r="D38" s="23" t="s">
        <v>25</v>
      </c>
      <c r="E38" s="23" t="s">
        <v>25</v>
      </c>
      <c r="F38" s="23" t="s">
        <v>25</v>
      </c>
      <c r="G38" s="22" t="s">
        <v>69</v>
      </c>
      <c r="H38" s="22" t="s">
        <v>63</v>
      </c>
      <c r="I38" s="22">
        <f>'MERCADO TE'!$U$35</f>
        <v>1376.9240000000002</v>
      </c>
      <c r="J38" s="15"/>
      <c r="L38" s="20">
        <f>1 - CUSTOS!$M$31</f>
        <v>1</v>
      </c>
      <c r="M38" s="20">
        <f>1 - CUSTOS!$M$31</f>
        <v>1</v>
      </c>
      <c r="N38" s="20">
        <f>1 - CUSTOS!$M$31</f>
        <v>1</v>
      </c>
      <c r="O38" s="20">
        <f>1 - CUSTOS!$M$31</f>
        <v>1</v>
      </c>
      <c r="P38" s="20">
        <f>1 - CUSTOS!$M$31</f>
        <v>1</v>
      </c>
      <c r="Q38" s="20"/>
      <c r="R38" s="20">
        <f>(1 - CUSTOS!$M$31)*1</f>
        <v>1</v>
      </c>
      <c r="S38" s="20"/>
      <c r="T38" s="20">
        <f>1 - CUSTOS!$M$31</f>
        <v>1</v>
      </c>
      <c r="U38" s="20">
        <f>1 - CUSTOS!$M$31</f>
        <v>1</v>
      </c>
      <c r="V38" s="20">
        <f>1 - CUSTOS!$M$31</f>
        <v>1</v>
      </c>
      <c r="W38" s="20"/>
      <c r="X38" s="20"/>
      <c r="Y38" s="20"/>
      <c r="Z38" s="20">
        <f>1 - CUSTOS!$M$31</f>
        <v>1</v>
      </c>
      <c r="AA38" s="20"/>
      <c r="AB38" s="20"/>
    </row>
    <row r="39" spans="1:28" ht="11.25" customHeight="1" x14ac:dyDescent="0.25">
      <c r="A39" s="112"/>
      <c r="B39" s="23" t="s">
        <v>78</v>
      </c>
      <c r="C39" s="23" t="s">
        <v>25</v>
      </c>
      <c r="D39" s="23" t="s">
        <v>25</v>
      </c>
      <c r="E39" s="23" t="s">
        <v>25</v>
      </c>
      <c r="F39" s="23" t="s">
        <v>25</v>
      </c>
      <c r="G39" s="22" t="s">
        <v>69</v>
      </c>
      <c r="H39" s="22" t="s">
        <v>63</v>
      </c>
      <c r="I39" s="22">
        <f>'MERCADO TE'!$U$36</f>
        <v>0</v>
      </c>
      <c r="J39" s="15"/>
      <c r="L39" s="20">
        <f>1 - CUSTOS!$M$31</f>
        <v>1</v>
      </c>
      <c r="M39" s="20">
        <f>1 - CUSTOS!$M$31</f>
        <v>1</v>
      </c>
      <c r="N39" s="20">
        <f>1 - CUSTOS!$M$31</f>
        <v>1</v>
      </c>
      <c r="O39" s="20">
        <f>1 - CUSTOS!$M$31</f>
        <v>1</v>
      </c>
      <c r="P39" s="20">
        <f>1 - CUSTOS!$M$31</f>
        <v>1</v>
      </c>
      <c r="Q39" s="20"/>
      <c r="R39" s="20">
        <f>(1 - CUSTOS!$M$31)*1</f>
        <v>1</v>
      </c>
      <c r="S39" s="20"/>
      <c r="T39" s="20">
        <f>1 - CUSTOS!$M$31</f>
        <v>1</v>
      </c>
      <c r="U39" s="20">
        <f>1 - CUSTOS!$M$31</f>
        <v>1</v>
      </c>
      <c r="V39" s="20">
        <f>1 - CUSTOS!$M$31</f>
        <v>1</v>
      </c>
      <c r="W39" s="20"/>
      <c r="X39" s="20"/>
      <c r="Y39" s="20"/>
      <c r="Z39" s="20">
        <f>1 - CUSTOS!$M$31</f>
        <v>1</v>
      </c>
      <c r="AA39" s="20"/>
      <c r="AB39" s="20"/>
    </row>
    <row r="40" spans="1:28" ht="11.25" customHeight="1" x14ac:dyDescent="0.25">
      <c r="A40" s="112" t="s">
        <v>42</v>
      </c>
      <c r="B40" s="112" t="s">
        <v>76</v>
      </c>
      <c r="C40" s="112" t="s">
        <v>43</v>
      </c>
      <c r="D40" s="23" t="s">
        <v>82</v>
      </c>
      <c r="E40" s="23" t="s">
        <v>25</v>
      </c>
      <c r="F40" s="23" t="s">
        <v>25</v>
      </c>
      <c r="G40" s="22" t="s">
        <v>69</v>
      </c>
      <c r="H40" s="22" t="s">
        <v>63</v>
      </c>
      <c r="I40" s="22">
        <f>'MERCADO TE'!$U$37</f>
        <v>0</v>
      </c>
      <c r="J40" s="15"/>
      <c r="L40" s="20">
        <f>1 - CUSTOS!$M$32</f>
        <v>0.55000000000000004</v>
      </c>
      <c r="M40" s="20">
        <f>1 - CUSTOS!$M$32</f>
        <v>0.55000000000000004</v>
      </c>
      <c r="N40" s="20">
        <f>1 - CUSTOS!$M$32</f>
        <v>0.55000000000000004</v>
      </c>
      <c r="O40" s="20">
        <f>1 - CUSTOS!$M$32</f>
        <v>0.55000000000000004</v>
      </c>
      <c r="P40" s="20">
        <f>1 - CUSTOS!$M$32</f>
        <v>0.55000000000000004</v>
      </c>
      <c r="Q40" s="20"/>
      <c r="R40" s="20">
        <f>(1 - CUSTOS!$M$32)*1</f>
        <v>0.55000000000000004</v>
      </c>
      <c r="S40" s="20"/>
      <c r="T40" s="20">
        <f>1 - CUSTOS!$M$32</f>
        <v>0.55000000000000004</v>
      </c>
      <c r="U40" s="20">
        <f>1 - CUSTOS!$M$32</f>
        <v>0.55000000000000004</v>
      </c>
      <c r="V40" s="20">
        <f>1 - CUSTOS!$M$32</f>
        <v>0.55000000000000004</v>
      </c>
      <c r="W40" s="20"/>
      <c r="X40" s="20"/>
      <c r="Y40" s="20"/>
      <c r="Z40" s="20">
        <f>1 - CUSTOS!$M$32</f>
        <v>0.55000000000000004</v>
      </c>
      <c r="AA40" s="20"/>
      <c r="AB40" s="20"/>
    </row>
    <row r="41" spans="1:28" ht="11.25" customHeight="1" x14ac:dyDescent="0.25">
      <c r="A41" s="112"/>
      <c r="B41" s="112"/>
      <c r="C41" s="112"/>
      <c r="D41" s="22" t="s">
        <v>44</v>
      </c>
      <c r="E41" s="22" t="s">
        <v>25</v>
      </c>
      <c r="F41" s="22" t="s">
        <v>25</v>
      </c>
      <c r="G41" s="22" t="s">
        <v>69</v>
      </c>
      <c r="H41" s="22" t="s">
        <v>63</v>
      </c>
      <c r="I41" s="22">
        <f>'MERCADO TE'!$U$38</f>
        <v>547.28399999999988</v>
      </c>
      <c r="J41" s="15"/>
      <c r="L41" s="20">
        <f>1 - CUSTOS!$M$33</f>
        <v>0.6</v>
      </c>
      <c r="M41" s="20">
        <f>1 - CUSTOS!$M$33</f>
        <v>0.6</v>
      </c>
      <c r="N41" s="20">
        <f>1 - CUSTOS!$M$33</f>
        <v>0.6</v>
      </c>
      <c r="O41" s="20">
        <f>1 - CUSTOS!$M$33</f>
        <v>0.6</v>
      </c>
      <c r="P41" s="20">
        <f>1 - CUSTOS!$M$33</f>
        <v>0.6</v>
      </c>
      <c r="Q41" s="20"/>
      <c r="R41" s="20">
        <f>(1 - CUSTOS!$M$33)*1</f>
        <v>0.6</v>
      </c>
      <c r="S41" s="20"/>
      <c r="T41" s="20">
        <f>1 - CUSTOS!$M$33</f>
        <v>0.6</v>
      </c>
      <c r="U41" s="20">
        <f>1 - CUSTOS!$M$33</f>
        <v>0.6</v>
      </c>
      <c r="V41" s="20">
        <f>1 - CUSTOS!$M$33</f>
        <v>0.6</v>
      </c>
      <c r="W41" s="20"/>
      <c r="X41" s="20"/>
      <c r="Y41" s="20"/>
      <c r="Z41" s="20">
        <f>1 - CUSTOS!$M$33</f>
        <v>0.6</v>
      </c>
      <c r="AA41" s="20"/>
      <c r="AB41" s="20"/>
    </row>
    <row r="43" spans="1:28" ht="11.25" customHeight="1" x14ac:dyDescent="0.25">
      <c r="K43" s="25" t="s">
        <v>445</v>
      </c>
      <c r="L43" s="20">
        <f t="shared" ref="L43:AB43" si="0">SUMPRODUCT($I$5:$I$41,L$5:L$41)</f>
        <v>56476.7984</v>
      </c>
      <c r="M43" s="20">
        <f t="shared" si="0"/>
        <v>56476.7984</v>
      </c>
      <c r="N43" s="20">
        <f t="shared" si="0"/>
        <v>56476.7984</v>
      </c>
      <c r="O43" s="20">
        <f t="shared" si="0"/>
        <v>56476.7984</v>
      </c>
      <c r="P43" s="20">
        <f t="shared" si="0"/>
        <v>56476.7984</v>
      </c>
      <c r="Q43" s="20">
        <f t="shared" si="0"/>
        <v>0</v>
      </c>
      <c r="R43" s="20">
        <f t="shared" si="0"/>
        <v>56476.7984</v>
      </c>
      <c r="S43" s="20">
        <f t="shared" si="0"/>
        <v>0</v>
      </c>
      <c r="T43" s="20">
        <f t="shared" si="0"/>
        <v>56476.7984</v>
      </c>
      <c r="U43" s="20">
        <f t="shared" si="0"/>
        <v>56476.7984</v>
      </c>
      <c r="V43" s="20">
        <f t="shared" si="0"/>
        <v>56476.7984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56476.7984</v>
      </c>
      <c r="AA43" s="20">
        <f t="shared" si="0"/>
        <v>0</v>
      </c>
      <c r="AB43" s="20">
        <f t="shared" si="0"/>
        <v>0</v>
      </c>
    </row>
    <row r="44" spans="1:28" ht="11.25" customHeight="1" x14ac:dyDescent="0.25">
      <c r="K44" s="25" t="s">
        <v>364</v>
      </c>
      <c r="L44" s="20">
        <f>CUSTOS!$D$30</f>
        <v>0</v>
      </c>
      <c r="M44" s="20">
        <f>CUSTOS!$D$31</f>
        <v>0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0</v>
      </c>
      <c r="R44" s="20">
        <f>CUSTOS!$D$36</f>
        <v>13779995.040996935</v>
      </c>
      <c r="S44" s="20">
        <f>CUSTOS!$D$37</f>
        <v>13779995.040996935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13779995.040996935</v>
      </c>
    </row>
    <row r="45" spans="1:28" ht="11.25" customHeight="1" x14ac:dyDescent="0.25">
      <c r="K45" s="25" t="s">
        <v>365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112997.05225141399</v>
      </c>
      <c r="S45" s="20">
        <f>CUSTOS!$E$37</f>
        <v>112997.05225141399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-343578.09311346081</v>
      </c>
      <c r="Y45" s="20">
        <f>CUSTOS!$E$43</f>
        <v>-343578.09311346081</v>
      </c>
      <c r="Z45" s="20">
        <f>CUSTOS!$E$44</f>
        <v>0</v>
      </c>
      <c r="AA45" s="20">
        <f>CUSTOS!$E$45</f>
        <v>0</v>
      </c>
      <c r="AB45" s="20">
        <f>CUSTOS!$E$46</f>
        <v>-230581.04086204682</v>
      </c>
    </row>
    <row r="46" spans="1:28" ht="11.25" customHeight="1" x14ac:dyDescent="0.25">
      <c r="K46" s="25" t="s">
        <v>366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25">
      <c r="K47" s="25" t="s">
        <v>446</v>
      </c>
      <c r="L47" s="20">
        <f>IF(SUMPRODUCT($I$5:$I$41,$L$5:$L$41)&lt;&gt;0,L44/SUMPRODUCT($I$5:$I$41,$L$5:$L$41),0)</f>
        <v>0</v>
      </c>
      <c r="M47" s="20">
        <f>IF(SUMPRODUCT($I$5:$I$41,$M$5:$M$41)&lt;&gt;0,M44/SUMPRODUCT($I$5:$I$41,$M$5:$M$41),0)</f>
        <v>0</v>
      </c>
      <c r="N47" s="20">
        <f>IF(SUMPRODUCT($I$5:$I$41,$N$5:$N$41)&lt;&gt;0,N44/SUMPRODUCT($I$5:$I$41,$N$5:$N$41),0)</f>
        <v>0</v>
      </c>
      <c r="O47" s="20">
        <f>IF(SUMPRODUCT($I$5:$I$41,$O$5:$O$41)&lt;&gt;0,O44/SUMPRODUCT($I$5:$I$41,$O$5:$O$41),0)</f>
        <v>0</v>
      </c>
      <c r="P47" s="20">
        <f>IF(SUMPRODUCT($I$5:$I$41,$P$5:$P$41)&lt;&gt;0,P44/SUMPRODUCT($I$5:$I$41,$P$5:$P$41),0)</f>
        <v>0</v>
      </c>
      <c r="Q47" s="20"/>
      <c r="R47" s="20">
        <f>IF((CUSTOS!$M$12-CUSTOS!$M$13)&lt;&gt;0,(CUSTOS!$M$12*CUSTOS!$M$14)/(CUSTOS!$M$12-CUSTOS!$M$13),0)</f>
        <v>247.143328</v>
      </c>
      <c r="S47" s="20"/>
      <c r="T47" s="20">
        <f>IF(SUMPRODUCT($I$5:$I$41,$T$5:$T$41)&lt;&gt;0,T44/SUMPRODUCT($I$5:$I$41,$T$5:$T$41),0)</f>
        <v>0</v>
      </c>
      <c r="U47" s="20">
        <f>IF(SUMPRODUCT($I$5:$I$41,$U$5:$U$41)&lt;&gt;0,U44/SUMPRODUCT($I$5:$I$41,$U$5:$U$41),0)</f>
        <v>0</v>
      </c>
      <c r="V47" s="20">
        <f>IF(SUMPRODUCT($I$5:$I$41,$V$5:$V$41)&lt;&gt;0,V44/SUMPRODUCT($I$5:$I$41,$V$5:$V$41),0)</f>
        <v>0</v>
      </c>
      <c r="W47" s="20"/>
      <c r="X47" s="20">
        <f>IF(SUMPRODUCT($I$5:$I$41,$X$5:$X$41)&lt;&gt;0,X44/SUMPRODUCT($I$5:$I$41,$X$5:$X$41),0)</f>
        <v>0</v>
      </c>
      <c r="Y47" s="20"/>
      <c r="Z47" s="20">
        <f>IF(SUMPRODUCT($I$5:$I$41,$Z$5:$Z$41)&lt;&gt;0,Z44/SUMPRODUCT($I$5:$I$41,$Z$5:$Z$41),0)</f>
        <v>0</v>
      </c>
      <c r="AA47" s="20"/>
      <c r="AB47" s="20"/>
    </row>
    <row r="48" spans="1:28" ht="11.25" customHeight="1" x14ac:dyDescent="0.25">
      <c r="K48" s="25" t="s">
        <v>447</v>
      </c>
      <c r="L48" s="20">
        <f>IF(L43&lt;&gt;0,(L44-L47*0)/(L43-0),0)</f>
        <v>0</v>
      </c>
      <c r="M48" s="20">
        <f>IF(M43&lt;&gt;0,(M44-M47*0)/(M43-0),0)</f>
        <v>0</v>
      </c>
      <c r="N48" s="20">
        <f>IF(N43&lt;&gt;0,(N44-N47*0)/(N43-0),0)</f>
        <v>0</v>
      </c>
      <c r="O48" s="20">
        <f>IF(O43&lt;&gt;0,(O44-O47*0)/(O43-0),0)</f>
        <v>0</v>
      </c>
      <c r="P48" s="20">
        <f>IF(P43&lt;&gt;0,(P44-P47*0)/(P43-0),0)</f>
        <v>0</v>
      </c>
      <c r="Q48" s="20"/>
      <c r="R48" s="20">
        <f>IF(R43&lt;&gt;0,(R44-R47*0)/(R43-0),0)</f>
        <v>243.9939131003739</v>
      </c>
      <c r="S48" s="20"/>
      <c r="T48" s="20">
        <f>IF(T43&lt;&gt;0,(T44-T47*0)/(T43-0),0)</f>
        <v>0</v>
      </c>
      <c r="U48" s="20">
        <f>IF(U43&lt;&gt;0,(U44-U47*0)/(U43-0),0)</f>
        <v>0</v>
      </c>
      <c r="V48" s="20">
        <f>IF(V43&lt;&gt;0,(V44-V47*0)/(V43-0),0)</f>
        <v>0</v>
      </c>
      <c r="W48" s="20"/>
      <c r="X48" s="20">
        <f>IF(X43&lt;&gt;0,(X44-X47*0)/(X43-0),0)</f>
        <v>0</v>
      </c>
      <c r="Y48" s="20"/>
      <c r="Z48" s="20">
        <f>IF(Z43&lt;&gt;0,(Z44-Z47*0)/(Z43-0),0)</f>
        <v>0</v>
      </c>
      <c r="AA48" s="20"/>
      <c r="AB48" s="20"/>
    </row>
    <row r="49" spans="11:28" ht="11.25" customHeight="1" x14ac:dyDescent="0.25">
      <c r="K49" s="25" t="s">
        <v>448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</sheetData>
  <mergeCells count="61">
    <mergeCell ref="Z3:AA3"/>
    <mergeCell ref="AB3:AB4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  <mergeCell ref="E35:E37"/>
    <mergeCell ref="F35:F37"/>
    <mergeCell ref="A40:A41"/>
    <mergeCell ref="B40:B41"/>
    <mergeCell ref="C40:C41"/>
    <mergeCell ref="B32:B34"/>
    <mergeCell ref="C32:C34"/>
    <mergeCell ref="A35:A39"/>
    <mergeCell ref="B35:B37"/>
    <mergeCell ref="C35:C37"/>
    <mergeCell ref="D35:D37"/>
    <mergeCell ref="F24:F26"/>
    <mergeCell ref="B28:B30"/>
    <mergeCell ref="C28:C30"/>
    <mergeCell ref="D28:D30"/>
    <mergeCell ref="E28:E30"/>
    <mergeCell ref="F28:F30"/>
    <mergeCell ref="A20:A34"/>
    <mergeCell ref="B20:B22"/>
    <mergeCell ref="C20:C22"/>
    <mergeCell ref="D20:D22"/>
    <mergeCell ref="E20:E22"/>
    <mergeCell ref="F20:F22"/>
    <mergeCell ref="B24:B26"/>
    <mergeCell ref="C24:C26"/>
    <mergeCell ref="D24:D26"/>
    <mergeCell ref="E24:E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F5:F6"/>
    <mergeCell ref="A5:A6"/>
    <mergeCell ref="B5:B6"/>
    <mergeCell ref="C5:C6"/>
    <mergeCell ref="D5:D6"/>
    <mergeCell ref="E5:E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8C30-5ABD-4BA2-8A41-D1BB3647CD8E}">
  <dimension ref="A1:AB49"/>
  <sheetViews>
    <sheetView showGridLines="0" topLeftCell="R25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.85546875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.85546875" style="9" bestFit="1" customWidth="1"/>
    <col min="29" max="16384" width="9.140625" style="9"/>
  </cols>
  <sheetData>
    <row r="1" spans="1:28" ht="11.25" customHeight="1" x14ac:dyDescent="0.25">
      <c r="A1" s="113" t="s">
        <v>53</v>
      </c>
      <c r="B1" s="113" t="s">
        <v>54</v>
      </c>
      <c r="C1" s="113" t="s">
        <v>55</v>
      </c>
      <c r="D1" s="113" t="s">
        <v>56</v>
      </c>
      <c r="E1" s="113" t="s">
        <v>57</v>
      </c>
      <c r="F1" s="113" t="s">
        <v>15</v>
      </c>
      <c r="G1" s="113" t="s">
        <v>59</v>
      </c>
      <c r="H1" s="113" t="s">
        <v>60</v>
      </c>
      <c r="I1" s="113" t="s">
        <v>423</v>
      </c>
      <c r="J1" s="98"/>
      <c r="L1" s="114" t="s">
        <v>449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8"/>
      <c r="L2" s="114" t="s">
        <v>350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8"/>
      <c r="L3" s="114" t="s">
        <v>323</v>
      </c>
      <c r="M3" s="114"/>
      <c r="N3" s="114"/>
      <c r="O3" s="114"/>
      <c r="P3" s="114"/>
      <c r="Q3" s="114"/>
      <c r="R3" s="114" t="s">
        <v>354</v>
      </c>
      <c r="S3" s="114"/>
      <c r="T3" s="114" t="s">
        <v>332</v>
      </c>
      <c r="U3" s="114"/>
      <c r="V3" s="114"/>
      <c r="W3" s="114"/>
      <c r="X3" s="114" t="s">
        <v>342</v>
      </c>
      <c r="Y3" s="114"/>
      <c r="Z3" s="114" t="s">
        <v>345</v>
      </c>
      <c r="AA3" s="114"/>
      <c r="AB3" s="114" t="s">
        <v>331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8"/>
      <c r="L4" s="24" t="s">
        <v>325</v>
      </c>
      <c r="M4" s="24" t="s">
        <v>351</v>
      </c>
      <c r="N4" s="24" t="s">
        <v>352</v>
      </c>
      <c r="O4" s="24" t="s">
        <v>411</v>
      </c>
      <c r="P4" s="24" t="s">
        <v>353</v>
      </c>
      <c r="Q4" s="24" t="s">
        <v>331</v>
      </c>
      <c r="R4" s="24" t="s">
        <v>355</v>
      </c>
      <c r="S4" s="24" t="s">
        <v>331</v>
      </c>
      <c r="T4" s="24" t="s">
        <v>356</v>
      </c>
      <c r="U4" s="24" t="s">
        <v>357</v>
      </c>
      <c r="V4" s="24" t="s">
        <v>358</v>
      </c>
      <c r="W4" s="24" t="s">
        <v>331</v>
      </c>
      <c r="X4" s="24" t="s">
        <v>343</v>
      </c>
      <c r="Y4" s="24" t="s">
        <v>331</v>
      </c>
      <c r="Z4" s="24" t="s">
        <v>359</v>
      </c>
      <c r="AA4" s="24" t="s">
        <v>331</v>
      </c>
      <c r="AB4" s="115"/>
    </row>
    <row r="5" spans="1:28" ht="11.25" customHeight="1" x14ac:dyDescent="0.25">
      <c r="A5" s="112" t="s">
        <v>33</v>
      </c>
      <c r="B5" s="112" t="s">
        <v>62</v>
      </c>
      <c r="C5" s="112" t="s">
        <v>25</v>
      </c>
      <c r="D5" s="112" t="s">
        <v>25</v>
      </c>
      <c r="E5" s="112" t="s">
        <v>25</v>
      </c>
      <c r="F5" s="112" t="s">
        <v>25</v>
      </c>
      <c r="G5" s="22" t="s">
        <v>64</v>
      </c>
      <c r="H5" s="22" t="s">
        <v>63</v>
      </c>
      <c r="I5" s="22">
        <f>'MERCADO TE'!$U$2</f>
        <v>4424.8969999999999</v>
      </c>
      <c r="J5" s="15"/>
      <c r="L5" s="20">
        <f>'TR TE'!$L$5*'TR TE'!$L$48</f>
        <v>0</v>
      </c>
      <c r="M5" s="20">
        <f>'TR TE'!$M$5*'TR TE'!$M$48</f>
        <v>0</v>
      </c>
      <c r="N5" s="20">
        <f>'TR TE'!$N$5*'TR TE'!$N$48</f>
        <v>0</v>
      </c>
      <c r="O5" s="20">
        <f>'TR TE'!$O$5*'TR TE'!$O$48</f>
        <v>0</v>
      </c>
      <c r="P5" s="20">
        <f>'TR TE'!$P$5*'TR TE'!$P$48</f>
        <v>0</v>
      </c>
      <c r="Q5" s="20">
        <f>SUM($L$5:$P$5)</f>
        <v>0</v>
      </c>
      <c r="R5" s="20">
        <f>'TR TE'!$R$5*'TR TE'!$R$48</f>
        <v>243.9939131003739</v>
      </c>
      <c r="S5" s="20">
        <f>SUM($R$5:$R$5)</f>
        <v>243.9939131003739</v>
      </c>
      <c r="T5" s="20">
        <f>'TR TE'!$T$5*'TR TE'!$T$48</f>
        <v>0</v>
      </c>
      <c r="U5" s="20">
        <f>'TR TE'!$U$5*'TR TE'!$U$48</f>
        <v>0</v>
      </c>
      <c r="V5" s="20">
        <f>'TR TE'!$V$5*'TR TE'!$V$48</f>
        <v>0</v>
      </c>
      <c r="W5" s="20">
        <f>SUM($T$5:$V$5)</f>
        <v>0</v>
      </c>
      <c r="X5" s="20"/>
      <c r="Y5" s="20">
        <f>SUM($X$5:$X$5)</f>
        <v>0</v>
      </c>
      <c r="Z5" s="20">
        <f>'TR TE'!$Z$5*'TR TE'!$Z$48</f>
        <v>0</v>
      </c>
      <c r="AA5" s="20">
        <f>SUM($Z$5:$Z$5)</f>
        <v>0</v>
      </c>
      <c r="AB5" s="20">
        <f>SUMIF($L$4:$AA$4,"SUBTOTAL",$L$5:$AA$5)</f>
        <v>243.9939131003739</v>
      </c>
    </row>
    <row r="6" spans="1:28" ht="11.25" customHeight="1" x14ac:dyDescent="0.25">
      <c r="A6" s="112"/>
      <c r="B6" s="112"/>
      <c r="C6" s="112"/>
      <c r="D6" s="112"/>
      <c r="E6" s="112"/>
      <c r="F6" s="112"/>
      <c r="G6" s="22" t="s">
        <v>65</v>
      </c>
      <c r="H6" s="22" t="s">
        <v>63</v>
      </c>
      <c r="I6" s="22">
        <f>'MERCADO TE'!$U$3</f>
        <v>46701.057000000001</v>
      </c>
      <c r="J6" s="15"/>
      <c r="L6" s="20">
        <f>'TR TE'!$L$6*'TR TE'!$L$48</f>
        <v>0</v>
      </c>
      <c r="M6" s="20">
        <f>'TR TE'!$M$6*'TR TE'!$M$48</f>
        <v>0</v>
      </c>
      <c r="N6" s="20">
        <f>'TR TE'!$N$6*'TR TE'!$N$48</f>
        <v>0</v>
      </c>
      <c r="O6" s="20">
        <f>'TR TE'!$O$6*'TR TE'!$O$48</f>
        <v>0</v>
      </c>
      <c r="P6" s="20">
        <f>'TR TE'!$P$6*'TR TE'!$P$48</f>
        <v>0</v>
      </c>
      <c r="Q6" s="20">
        <f>SUM($L$6:$P$6)</f>
        <v>0</v>
      </c>
      <c r="R6" s="20">
        <f>'TR TE'!$R$6*'TR TE'!$R$48</f>
        <v>243.9939131003739</v>
      </c>
      <c r="S6" s="20">
        <f>SUM($R$6:$R$6)</f>
        <v>243.9939131003739</v>
      </c>
      <c r="T6" s="20">
        <f>'TR TE'!$T$6*'TR TE'!$T$48</f>
        <v>0</v>
      </c>
      <c r="U6" s="20">
        <f>'TR TE'!$U$6*'TR TE'!$U$48</f>
        <v>0</v>
      </c>
      <c r="V6" s="20">
        <f>'TR TE'!$V$6*'TR TE'!$V$48</f>
        <v>0</v>
      </c>
      <c r="W6" s="20">
        <f>SUM($T$6:$V$6)</f>
        <v>0</v>
      </c>
      <c r="X6" s="20"/>
      <c r="Y6" s="20">
        <f>SUM($X$6:$X$6)</f>
        <v>0</v>
      </c>
      <c r="Z6" s="20">
        <f>'TR TE'!$Z$6*'TR TE'!$Z$48</f>
        <v>0</v>
      </c>
      <c r="AA6" s="20">
        <f>SUM($Z$6:$Z$6)</f>
        <v>0</v>
      </c>
      <c r="AB6" s="20">
        <f>SUMIF($L$4:$AA$4,"SUBTOTAL",$L$6:$AA$6)</f>
        <v>243.9939131003739</v>
      </c>
    </row>
    <row r="7" spans="1:28" ht="11.25" customHeight="1" x14ac:dyDescent="0.25">
      <c r="A7" s="112" t="s">
        <v>22</v>
      </c>
      <c r="B7" s="112" t="s">
        <v>62</v>
      </c>
      <c r="C7" s="112" t="s">
        <v>24</v>
      </c>
      <c r="D7" s="112" t="s">
        <v>24</v>
      </c>
      <c r="E7" s="112" t="s">
        <v>25</v>
      </c>
      <c r="F7" s="112" t="s">
        <v>25</v>
      </c>
      <c r="G7" s="22" t="s">
        <v>64</v>
      </c>
      <c r="H7" s="22" t="s">
        <v>63</v>
      </c>
      <c r="I7" s="22">
        <f>'MERCADO TE'!$U$4</f>
        <v>0</v>
      </c>
      <c r="J7" s="15"/>
      <c r="L7" s="20">
        <f>'TR TE'!$L$7*'TR TE'!$L$48</f>
        <v>0</v>
      </c>
      <c r="M7" s="20">
        <f>'TR TE'!$M$7*'TR TE'!$M$48</f>
        <v>0</v>
      </c>
      <c r="N7" s="20">
        <f>'TR TE'!$N$7*'TR TE'!$N$48</f>
        <v>0</v>
      </c>
      <c r="O7" s="20">
        <f>'TR TE'!$O$7*'TR TE'!$O$48</f>
        <v>0</v>
      </c>
      <c r="P7" s="20">
        <f>'TR TE'!$P$7*'TR TE'!$P$48</f>
        <v>0</v>
      </c>
      <c r="Q7" s="20">
        <f>SUM($L$7:$P$7)</f>
        <v>0</v>
      </c>
      <c r="R7" s="20">
        <f>'TR TE'!$R$7*'TR TE'!$R$48</f>
        <v>243.9939131003739</v>
      </c>
      <c r="S7" s="20">
        <f>SUM($R$7:$R$7)</f>
        <v>243.9939131003739</v>
      </c>
      <c r="T7" s="20">
        <f>'TR TE'!$T$7*'TR TE'!$T$48</f>
        <v>0</v>
      </c>
      <c r="U7" s="20">
        <f>'TR TE'!$U$7*'TR TE'!$U$48</f>
        <v>0</v>
      </c>
      <c r="V7" s="20">
        <f>'TR TE'!$V$7*'TR TE'!$V$48</f>
        <v>0</v>
      </c>
      <c r="W7" s="20">
        <f>SUM($T$7:$V$7)</f>
        <v>0</v>
      </c>
      <c r="X7" s="20"/>
      <c r="Y7" s="20">
        <f>SUM($X$7:$X$7)</f>
        <v>0</v>
      </c>
      <c r="Z7" s="20">
        <f>'TR TE'!$Z$7*'TR TE'!$Z$48</f>
        <v>0</v>
      </c>
      <c r="AA7" s="20">
        <f>SUM($Z$7:$Z$7)</f>
        <v>0</v>
      </c>
      <c r="AB7" s="20">
        <f>SUMIF($L$4:$AA$4,"SUBTOTAL",$L$7:$AA$7)</f>
        <v>243.9939131003739</v>
      </c>
    </row>
    <row r="8" spans="1:28" ht="11.25" customHeight="1" x14ac:dyDescent="0.25">
      <c r="A8" s="112"/>
      <c r="B8" s="112"/>
      <c r="C8" s="112"/>
      <c r="D8" s="112"/>
      <c r="E8" s="112"/>
      <c r="F8" s="112"/>
      <c r="G8" s="22" t="s">
        <v>75</v>
      </c>
      <c r="H8" s="22" t="s">
        <v>63</v>
      </c>
      <c r="I8" s="22">
        <f>'MERCADO TE'!$U$5</f>
        <v>0</v>
      </c>
      <c r="J8" s="15"/>
      <c r="L8" s="20">
        <f>'TR TE'!$L$8*'TR TE'!$L$48</f>
        <v>0</v>
      </c>
      <c r="M8" s="20">
        <f>'TR TE'!$M$8*'TR TE'!$M$48</f>
        <v>0</v>
      </c>
      <c r="N8" s="20">
        <f>'TR TE'!$N$8*'TR TE'!$N$48</f>
        <v>0</v>
      </c>
      <c r="O8" s="20">
        <f>'TR TE'!$O$8*'TR TE'!$O$48</f>
        <v>0</v>
      </c>
      <c r="P8" s="20">
        <f>'TR TE'!$P$8*'TR TE'!$P$48</f>
        <v>0</v>
      </c>
      <c r="Q8" s="20">
        <f>SUM($L$8:$P$8)</f>
        <v>0</v>
      </c>
      <c r="R8" s="20">
        <f>'TR TE'!$R$8*'TR TE'!$R$48</f>
        <v>243.9939131003739</v>
      </c>
      <c r="S8" s="20">
        <f>SUM($R$8:$R$8)</f>
        <v>243.9939131003739</v>
      </c>
      <c r="T8" s="20">
        <f>'TR TE'!$T$8*'TR TE'!$T$48</f>
        <v>0</v>
      </c>
      <c r="U8" s="20">
        <f>'TR TE'!$U$8*'TR TE'!$U$48</f>
        <v>0</v>
      </c>
      <c r="V8" s="20">
        <f>'TR TE'!$V$8*'TR TE'!$V$48</f>
        <v>0</v>
      </c>
      <c r="W8" s="20">
        <f>SUM($T$8:$V$8)</f>
        <v>0</v>
      </c>
      <c r="X8" s="20"/>
      <c r="Y8" s="20">
        <f>SUM($X$8:$X$8)</f>
        <v>0</v>
      </c>
      <c r="Z8" s="20">
        <f>'TR TE'!$Z$8*'TR TE'!$Z$48</f>
        <v>0</v>
      </c>
      <c r="AA8" s="20">
        <f>SUM($Z$8:$Z$8)</f>
        <v>0</v>
      </c>
      <c r="AB8" s="20">
        <f>SUMIF($L$4:$AA$4,"SUBTOTAL",$L$8:$AA$8)</f>
        <v>243.9939131003739</v>
      </c>
    </row>
    <row r="9" spans="1:28" ht="11.25" customHeight="1" x14ac:dyDescent="0.25">
      <c r="A9" s="112"/>
      <c r="B9" s="112"/>
      <c r="C9" s="112"/>
      <c r="D9" s="112"/>
      <c r="E9" s="112"/>
      <c r="F9" s="112"/>
      <c r="G9" s="22" t="s">
        <v>65</v>
      </c>
      <c r="H9" s="22" t="s">
        <v>63</v>
      </c>
      <c r="I9" s="22">
        <f>'MERCADO TE'!$U$6</f>
        <v>0</v>
      </c>
      <c r="J9" s="15"/>
      <c r="L9" s="20">
        <f>'TR TE'!$L$9*'TR TE'!$L$48</f>
        <v>0</v>
      </c>
      <c r="M9" s="20">
        <f>'TR TE'!$M$9*'TR TE'!$M$48</f>
        <v>0</v>
      </c>
      <c r="N9" s="20">
        <f>'TR TE'!$N$9*'TR TE'!$N$48</f>
        <v>0</v>
      </c>
      <c r="O9" s="20">
        <f>'TR TE'!$O$9*'TR TE'!$O$48</f>
        <v>0</v>
      </c>
      <c r="P9" s="20">
        <f>'TR TE'!$P$9*'TR TE'!$P$48</f>
        <v>0</v>
      </c>
      <c r="Q9" s="20">
        <f>SUM($L$9:$P$9)</f>
        <v>0</v>
      </c>
      <c r="R9" s="20">
        <f>'TR TE'!$R$9*'TR TE'!$R$48</f>
        <v>243.9939131003739</v>
      </c>
      <c r="S9" s="20">
        <f>SUM($R$9:$R$9)</f>
        <v>243.9939131003739</v>
      </c>
      <c r="T9" s="20">
        <f>'TR TE'!$T$9*'TR TE'!$T$48</f>
        <v>0</v>
      </c>
      <c r="U9" s="20">
        <f>'TR TE'!$U$9*'TR TE'!$U$48</f>
        <v>0</v>
      </c>
      <c r="V9" s="20">
        <f>'TR TE'!$V$9*'TR TE'!$V$48</f>
        <v>0</v>
      </c>
      <c r="W9" s="20">
        <f>SUM($T$9:$V$9)</f>
        <v>0</v>
      </c>
      <c r="X9" s="20"/>
      <c r="Y9" s="20">
        <f>SUM($X$9:$X$9)</f>
        <v>0</v>
      </c>
      <c r="Z9" s="20">
        <f>'TR TE'!$Z$9*'TR TE'!$Z$48</f>
        <v>0</v>
      </c>
      <c r="AA9" s="20">
        <f>SUM($Z$9:$Z$9)</f>
        <v>0</v>
      </c>
      <c r="AB9" s="20">
        <f>SUMIF($L$4:$AA$4,"SUBTOTAL",$L$9:$AA$9)</f>
        <v>243.9939131003739</v>
      </c>
    </row>
    <row r="10" spans="1:28" ht="11.25" customHeight="1" x14ac:dyDescent="0.25">
      <c r="A10" s="112"/>
      <c r="B10" s="112" t="s">
        <v>76</v>
      </c>
      <c r="C10" s="112" t="s">
        <v>24</v>
      </c>
      <c r="D10" s="23" t="s">
        <v>24</v>
      </c>
      <c r="E10" s="23" t="s">
        <v>25</v>
      </c>
      <c r="F10" s="23" t="s">
        <v>25</v>
      </c>
      <c r="G10" s="22" t="s">
        <v>69</v>
      </c>
      <c r="H10" s="22" t="s">
        <v>63</v>
      </c>
      <c r="I10" s="22">
        <f>'MERCADO TE'!$U$7</f>
        <v>2968.7139999999999</v>
      </c>
      <c r="J10" s="15"/>
      <c r="L10" s="20">
        <f>'TR TE'!$L$10*'TR TE'!$L$48</f>
        <v>0</v>
      </c>
      <c r="M10" s="20">
        <f>'TR TE'!$M$10*'TR TE'!$M$48</f>
        <v>0</v>
      </c>
      <c r="N10" s="20">
        <f>'TR TE'!$N$10*'TR TE'!$N$48</f>
        <v>0</v>
      </c>
      <c r="O10" s="20">
        <f>'TR TE'!$O$10*'TR TE'!$O$48</f>
        <v>0</v>
      </c>
      <c r="P10" s="20">
        <f>'TR TE'!$P$10*'TR TE'!$P$48</f>
        <v>0</v>
      </c>
      <c r="Q10" s="20">
        <f>SUM($L$10:$P$10)</f>
        <v>0</v>
      </c>
      <c r="R10" s="20">
        <f>'TR TE'!$R$10*'TR TE'!$R$48</f>
        <v>243.9939131003739</v>
      </c>
      <c r="S10" s="20">
        <f>SUM($R$10:$R$10)</f>
        <v>243.9939131003739</v>
      </c>
      <c r="T10" s="20">
        <f>'TR TE'!$T$10*'TR TE'!$T$48</f>
        <v>0</v>
      </c>
      <c r="U10" s="20">
        <f>'TR TE'!$U$10*'TR TE'!$U$48</f>
        <v>0</v>
      </c>
      <c r="V10" s="20">
        <f>'TR TE'!$V$10*'TR TE'!$V$48</f>
        <v>0</v>
      </c>
      <c r="W10" s="20">
        <f>SUM($T$10:$V$10)</f>
        <v>0</v>
      </c>
      <c r="X10" s="20"/>
      <c r="Y10" s="20">
        <f>SUM($X$10:$X$10)</f>
        <v>0</v>
      </c>
      <c r="Z10" s="20">
        <f>'TR TE'!$Z$10*'TR TE'!$Z$48</f>
        <v>0</v>
      </c>
      <c r="AA10" s="20">
        <f>SUM($Z$10:$Z$10)</f>
        <v>0</v>
      </c>
      <c r="AB10" s="20">
        <f>SUMIF($L$4:$AA$4,"SUBTOTAL",$L$10:$AA$10)</f>
        <v>243.9939131003739</v>
      </c>
    </row>
    <row r="11" spans="1:28" ht="11.25" customHeight="1" x14ac:dyDescent="0.25">
      <c r="A11" s="112"/>
      <c r="B11" s="112"/>
      <c r="C11" s="112"/>
      <c r="D11" s="23" t="s">
        <v>27</v>
      </c>
      <c r="E11" s="23" t="s">
        <v>25</v>
      </c>
      <c r="F11" s="23" t="s">
        <v>25</v>
      </c>
      <c r="G11" s="22" t="s">
        <v>69</v>
      </c>
      <c r="H11" s="22" t="s">
        <v>63</v>
      </c>
      <c r="I11" s="22">
        <f>'MERCADO TE'!$U$8</f>
        <v>3.0050000000000003</v>
      </c>
      <c r="J11" s="15"/>
      <c r="L11" s="20">
        <f>'TR TE'!$L$11*'TR TE'!$L$48</f>
        <v>0</v>
      </c>
      <c r="M11" s="20">
        <f>'TR TE'!$M$11*'TR TE'!$M$48</f>
        <v>0</v>
      </c>
      <c r="N11" s="20">
        <f>'TR TE'!$N$11*'TR TE'!$N$48</f>
        <v>0</v>
      </c>
      <c r="O11" s="20">
        <f>'TR TE'!$O$11*'TR TE'!$O$48</f>
        <v>0</v>
      </c>
      <c r="P11" s="20">
        <f>'TR TE'!$P$11*'TR TE'!$P$48</f>
        <v>0</v>
      </c>
      <c r="Q11" s="20">
        <f>SUM($L$11:$P$11)</f>
        <v>0</v>
      </c>
      <c r="R11" s="20">
        <f>'TR TE'!$R$11*'TR TE'!$R$48</f>
        <v>243.9939131003739</v>
      </c>
      <c r="S11" s="20">
        <f>SUM($R$11:$R$11)</f>
        <v>243.9939131003739</v>
      </c>
      <c r="T11" s="20">
        <f>'TR TE'!$T$11*'TR TE'!$T$48</f>
        <v>0</v>
      </c>
      <c r="U11" s="20">
        <f>'TR TE'!$U$11*'TR TE'!$U$48</f>
        <v>0</v>
      </c>
      <c r="V11" s="20">
        <f>'TR TE'!$V$11*'TR TE'!$V$48</f>
        <v>0</v>
      </c>
      <c r="W11" s="20">
        <f>SUM($T$11:$V$11)</f>
        <v>0</v>
      </c>
      <c r="X11" s="20"/>
      <c r="Y11" s="20">
        <f>SUM($X$11:$X$11)</f>
        <v>0</v>
      </c>
      <c r="Z11" s="20">
        <f>'TR TE'!$Z$11*'TR TE'!$Z$48</f>
        <v>0</v>
      </c>
      <c r="AA11" s="20">
        <f>SUM($Z$11:$Z$11)</f>
        <v>0</v>
      </c>
      <c r="AB11" s="20">
        <f>SUMIF($L$4:$AA$4,"SUBTOTAL",$L$11:$AA$11)</f>
        <v>243.9939131003739</v>
      </c>
    </row>
    <row r="12" spans="1:28" ht="11.25" customHeight="1" x14ac:dyDescent="0.25">
      <c r="A12" s="112"/>
      <c r="B12" s="112"/>
      <c r="C12" s="112"/>
      <c r="D12" s="23" t="s">
        <v>28</v>
      </c>
      <c r="E12" s="23" t="s">
        <v>25</v>
      </c>
      <c r="F12" s="23" t="s">
        <v>25</v>
      </c>
      <c r="G12" s="22" t="s">
        <v>69</v>
      </c>
      <c r="H12" s="22" t="s">
        <v>63</v>
      </c>
      <c r="I12" s="22">
        <f>'MERCADO TE'!$U$9</f>
        <v>4.8120000000000003</v>
      </c>
      <c r="J12" s="15"/>
      <c r="L12" s="20">
        <f>'TR TE'!$L$12*'TR TE'!$L$48</f>
        <v>0</v>
      </c>
      <c r="M12" s="20">
        <f>'TR TE'!$M$12*'TR TE'!$M$48</f>
        <v>0</v>
      </c>
      <c r="N12" s="20">
        <f>'TR TE'!$N$12*'TR TE'!$N$48</f>
        <v>0</v>
      </c>
      <c r="O12" s="20">
        <f>'TR TE'!$O$12*'TR TE'!$O$48</f>
        <v>0</v>
      </c>
      <c r="P12" s="20">
        <f>'TR TE'!$P$12*'TR TE'!$P$48</f>
        <v>0</v>
      </c>
      <c r="Q12" s="20">
        <f>SUM($L$12:$P$12)</f>
        <v>0</v>
      </c>
      <c r="R12" s="20">
        <f>'TR TE'!$R$12*'TR TE'!$R$48</f>
        <v>243.9939131003739</v>
      </c>
      <c r="S12" s="20">
        <f>SUM($R$12:$R$12)</f>
        <v>243.9939131003739</v>
      </c>
      <c r="T12" s="20">
        <f>'TR TE'!$T$12*'TR TE'!$T$48</f>
        <v>0</v>
      </c>
      <c r="U12" s="20">
        <f>'TR TE'!$U$12*'TR TE'!$U$48</f>
        <v>0</v>
      </c>
      <c r="V12" s="20">
        <f>'TR TE'!$V$12*'TR TE'!$V$48</f>
        <v>0</v>
      </c>
      <c r="W12" s="20">
        <f>SUM($T$12:$V$12)</f>
        <v>0</v>
      </c>
      <c r="X12" s="20"/>
      <c r="Y12" s="20">
        <f>SUM($X$12:$X$12)</f>
        <v>0</v>
      </c>
      <c r="Z12" s="20">
        <f>'TR TE'!$Z$12*'TR TE'!$Z$48</f>
        <v>0</v>
      </c>
      <c r="AA12" s="20">
        <f>SUM($Z$12:$Z$12)</f>
        <v>0</v>
      </c>
      <c r="AB12" s="20">
        <f>SUMIF($L$4:$AA$4,"SUBTOTAL",$L$12:$AA$12)</f>
        <v>243.9939131003739</v>
      </c>
    </row>
    <row r="13" spans="1:28" ht="11.25" customHeight="1" x14ac:dyDescent="0.25">
      <c r="A13" s="112"/>
      <c r="B13" s="112"/>
      <c r="C13" s="112"/>
      <c r="D13" s="23" t="s">
        <v>29</v>
      </c>
      <c r="E13" s="23" t="s">
        <v>25</v>
      </c>
      <c r="F13" s="23" t="s">
        <v>25</v>
      </c>
      <c r="G13" s="22" t="s">
        <v>69</v>
      </c>
      <c r="H13" s="22" t="s">
        <v>63</v>
      </c>
      <c r="I13" s="22">
        <f>'MERCADO TE'!$U$10</f>
        <v>0.12</v>
      </c>
      <c r="J13" s="15"/>
      <c r="L13" s="20">
        <f>'TR TE'!$L$13*'TR TE'!$L$48</f>
        <v>0</v>
      </c>
      <c r="M13" s="20">
        <f>'TR TE'!$M$13*'TR TE'!$M$48</f>
        <v>0</v>
      </c>
      <c r="N13" s="20">
        <f>'TR TE'!$N$13*'TR TE'!$N$48</f>
        <v>0</v>
      </c>
      <c r="O13" s="20">
        <f>'TR TE'!$O$13*'TR TE'!$O$48</f>
        <v>0</v>
      </c>
      <c r="P13" s="20">
        <f>'TR TE'!$P$13*'TR TE'!$P$48</f>
        <v>0</v>
      </c>
      <c r="Q13" s="20">
        <f>SUM($L$13:$P$13)</f>
        <v>0</v>
      </c>
      <c r="R13" s="20">
        <f>'TR TE'!$R$13*'TR TE'!$R$48</f>
        <v>243.9939131003739</v>
      </c>
      <c r="S13" s="20">
        <f>SUM($R$13:$R$13)</f>
        <v>243.9939131003739</v>
      </c>
      <c r="T13" s="20">
        <f>'TR TE'!$T$13*'TR TE'!$T$48</f>
        <v>0</v>
      </c>
      <c r="U13" s="20">
        <f>'TR TE'!$U$13*'TR TE'!$U$48</f>
        <v>0</v>
      </c>
      <c r="V13" s="20">
        <f>'TR TE'!$V$13*'TR TE'!$V$48</f>
        <v>0</v>
      </c>
      <c r="W13" s="20">
        <f>SUM($T$13:$V$13)</f>
        <v>0</v>
      </c>
      <c r="X13" s="20"/>
      <c r="Y13" s="20">
        <f>SUM($X$13:$X$13)</f>
        <v>0</v>
      </c>
      <c r="Z13" s="20">
        <f>'TR TE'!$Z$13*'TR TE'!$Z$48</f>
        <v>0</v>
      </c>
      <c r="AA13" s="20">
        <f>SUM($Z$13:$Z$13)</f>
        <v>0</v>
      </c>
      <c r="AB13" s="20">
        <f>SUMIF($L$4:$AA$4,"SUBTOTAL",$L$13:$AA$13)</f>
        <v>243.9939131003739</v>
      </c>
    </row>
    <row r="14" spans="1:28" ht="11.25" customHeight="1" x14ac:dyDescent="0.25">
      <c r="A14" s="112"/>
      <c r="B14" s="112"/>
      <c r="C14" s="112"/>
      <c r="D14" s="23" t="s">
        <v>30</v>
      </c>
      <c r="E14" s="23" t="s">
        <v>25</v>
      </c>
      <c r="F14" s="23" t="s">
        <v>25</v>
      </c>
      <c r="G14" s="22" t="s">
        <v>69</v>
      </c>
      <c r="H14" s="22" t="s">
        <v>63</v>
      </c>
      <c r="I14" s="22">
        <f>'MERCADO TE'!$U$11</f>
        <v>0.31900000000000001</v>
      </c>
      <c r="J14" s="15"/>
      <c r="L14" s="20">
        <f>'TR TE'!$L$14*'TR TE'!$L$48</f>
        <v>0</v>
      </c>
      <c r="M14" s="20">
        <f>'TR TE'!$M$14*'TR TE'!$M$48</f>
        <v>0</v>
      </c>
      <c r="N14" s="20">
        <f>'TR TE'!$N$14*'TR TE'!$N$48</f>
        <v>0</v>
      </c>
      <c r="O14" s="20">
        <f>'TR TE'!$O$14*'TR TE'!$O$48</f>
        <v>0</v>
      </c>
      <c r="P14" s="20">
        <f>'TR TE'!$P$14*'TR TE'!$P$48</f>
        <v>0</v>
      </c>
      <c r="Q14" s="20">
        <f>SUM($L$14:$P$14)</f>
        <v>0</v>
      </c>
      <c r="R14" s="20">
        <f>'TR TE'!$R$14*'TR TE'!$R$48</f>
        <v>243.9939131003739</v>
      </c>
      <c r="S14" s="20">
        <f>SUM($R$14:$R$14)</f>
        <v>243.9939131003739</v>
      </c>
      <c r="T14" s="20">
        <f>'TR TE'!$T$14*'TR TE'!$T$48</f>
        <v>0</v>
      </c>
      <c r="U14" s="20">
        <f>'TR TE'!$U$14*'TR TE'!$U$48</f>
        <v>0</v>
      </c>
      <c r="V14" s="20">
        <f>'TR TE'!$V$14*'TR TE'!$V$48</f>
        <v>0</v>
      </c>
      <c r="W14" s="20">
        <f>SUM($T$14:$V$14)</f>
        <v>0</v>
      </c>
      <c r="X14" s="20"/>
      <c r="Y14" s="20">
        <f>SUM($X$14:$X$14)</f>
        <v>0</v>
      </c>
      <c r="Z14" s="20">
        <f>'TR TE'!$Z$14*'TR TE'!$Z$48</f>
        <v>0</v>
      </c>
      <c r="AA14" s="20">
        <f>SUM($Z$14:$Z$14)</f>
        <v>0</v>
      </c>
      <c r="AB14" s="20">
        <f>SUMIF($L$4:$AA$4,"SUBTOTAL",$L$14:$AA$14)</f>
        <v>243.9939131003739</v>
      </c>
    </row>
    <row r="15" spans="1:28" ht="11.25" customHeight="1" x14ac:dyDescent="0.25">
      <c r="A15" s="112"/>
      <c r="B15" s="112" t="s">
        <v>78</v>
      </c>
      <c r="C15" s="112" t="s">
        <v>24</v>
      </c>
      <c r="D15" s="23" t="s">
        <v>24</v>
      </c>
      <c r="E15" s="23" t="s">
        <v>25</v>
      </c>
      <c r="F15" s="23" t="s">
        <v>25</v>
      </c>
      <c r="G15" s="22" t="s">
        <v>69</v>
      </c>
      <c r="H15" s="22" t="s">
        <v>63</v>
      </c>
      <c r="I15" s="22">
        <f>'MERCADO TE'!$U$12</f>
        <v>0</v>
      </c>
      <c r="J15" s="15"/>
      <c r="L15" s="20">
        <f>'TR TE'!$L$15*'TR TE'!$L$48</f>
        <v>0</v>
      </c>
      <c r="M15" s="20">
        <f>'TR TE'!$M$15*'TR TE'!$M$48</f>
        <v>0</v>
      </c>
      <c r="N15" s="20">
        <f>'TR TE'!$N$15*'TR TE'!$N$48</f>
        <v>0</v>
      </c>
      <c r="O15" s="20">
        <f>'TR TE'!$O$15*'TR TE'!$O$48</f>
        <v>0</v>
      </c>
      <c r="P15" s="20">
        <f>'TR TE'!$P$15*'TR TE'!$P$48</f>
        <v>0</v>
      </c>
      <c r="Q15" s="20">
        <f>SUM($L$15:$P$15)</f>
        <v>0</v>
      </c>
      <c r="R15" s="20">
        <f>'TR TE'!$R$15*'TR TE'!$R$48</f>
        <v>243.9939131003739</v>
      </c>
      <c r="S15" s="20">
        <f>SUM($R$15:$R$15)</f>
        <v>243.9939131003739</v>
      </c>
      <c r="T15" s="20">
        <f>'TR TE'!$T$15*'TR TE'!$T$48</f>
        <v>0</v>
      </c>
      <c r="U15" s="20">
        <f>'TR TE'!$U$15*'TR TE'!$U$48</f>
        <v>0</v>
      </c>
      <c r="V15" s="20">
        <f>'TR TE'!$V$15*'TR TE'!$V$48</f>
        <v>0</v>
      </c>
      <c r="W15" s="20">
        <f>SUM($T$15:$V$15)</f>
        <v>0</v>
      </c>
      <c r="X15" s="20"/>
      <c r="Y15" s="20">
        <f>SUM($X$15:$X$15)</f>
        <v>0</v>
      </c>
      <c r="Z15" s="20">
        <f>'TR TE'!$Z$15*'TR TE'!$Z$48</f>
        <v>0</v>
      </c>
      <c r="AA15" s="20">
        <f>SUM($Z$15:$Z$15)</f>
        <v>0</v>
      </c>
      <c r="AB15" s="20">
        <f>SUMIF($L$4:$AA$4,"SUBTOTAL",$L$15:$AA$15)</f>
        <v>243.9939131003739</v>
      </c>
    </row>
    <row r="16" spans="1:28" ht="11.25" customHeight="1" x14ac:dyDescent="0.25">
      <c r="A16" s="112"/>
      <c r="B16" s="112"/>
      <c r="C16" s="112"/>
      <c r="D16" s="23" t="s">
        <v>27</v>
      </c>
      <c r="E16" s="23" t="s">
        <v>25</v>
      </c>
      <c r="F16" s="23" t="s">
        <v>25</v>
      </c>
      <c r="G16" s="22" t="s">
        <v>69</v>
      </c>
      <c r="H16" s="22" t="s">
        <v>63</v>
      </c>
      <c r="I16" s="22">
        <f>'MERCADO TE'!$U$13</f>
        <v>0</v>
      </c>
      <c r="J16" s="15"/>
      <c r="L16" s="20">
        <f>'TR TE'!$L$16*'TR TE'!$L$48</f>
        <v>0</v>
      </c>
      <c r="M16" s="20">
        <f>'TR TE'!$M$16*'TR TE'!$M$48</f>
        <v>0</v>
      </c>
      <c r="N16" s="20">
        <f>'TR TE'!$N$16*'TR TE'!$N$48</f>
        <v>0</v>
      </c>
      <c r="O16" s="20">
        <f>'TR TE'!$O$16*'TR TE'!$O$48</f>
        <v>0</v>
      </c>
      <c r="P16" s="20">
        <f>'TR TE'!$P$16*'TR TE'!$P$48</f>
        <v>0</v>
      </c>
      <c r="Q16" s="20">
        <f>SUM($L$16:$P$16)</f>
        <v>0</v>
      </c>
      <c r="R16" s="20">
        <f>'TR TE'!$R$16*'TR TE'!$R$48</f>
        <v>243.9939131003739</v>
      </c>
      <c r="S16" s="20">
        <f>SUM($R$16:$R$16)</f>
        <v>243.9939131003739</v>
      </c>
      <c r="T16" s="20">
        <f>'TR TE'!$T$16*'TR TE'!$T$48</f>
        <v>0</v>
      </c>
      <c r="U16" s="20">
        <f>'TR TE'!$U$16*'TR TE'!$U$48</f>
        <v>0</v>
      </c>
      <c r="V16" s="20">
        <f>'TR TE'!$V$16*'TR TE'!$V$48</f>
        <v>0</v>
      </c>
      <c r="W16" s="20">
        <f>SUM($T$16:$V$16)</f>
        <v>0</v>
      </c>
      <c r="X16" s="20"/>
      <c r="Y16" s="20">
        <f>SUM($X$16:$X$16)</f>
        <v>0</v>
      </c>
      <c r="Z16" s="20">
        <f>'TR TE'!$Z$16*'TR TE'!$Z$48</f>
        <v>0</v>
      </c>
      <c r="AA16" s="20">
        <f>SUM($Z$16:$Z$16)</f>
        <v>0</v>
      </c>
      <c r="AB16" s="20">
        <f>SUMIF($L$4:$AA$4,"SUBTOTAL",$L$16:$AA$16)</f>
        <v>243.9939131003739</v>
      </c>
    </row>
    <row r="17" spans="1:28" ht="11.25" customHeight="1" x14ac:dyDescent="0.25">
      <c r="A17" s="112"/>
      <c r="B17" s="112"/>
      <c r="C17" s="112"/>
      <c r="D17" s="23" t="s">
        <v>28</v>
      </c>
      <c r="E17" s="23" t="s">
        <v>25</v>
      </c>
      <c r="F17" s="23" t="s">
        <v>25</v>
      </c>
      <c r="G17" s="22" t="s">
        <v>69</v>
      </c>
      <c r="H17" s="22" t="s">
        <v>63</v>
      </c>
      <c r="I17" s="22">
        <f>'MERCADO TE'!$U$14</f>
        <v>0</v>
      </c>
      <c r="J17" s="15"/>
      <c r="L17" s="20">
        <f>'TR TE'!$L$17*'TR TE'!$L$48</f>
        <v>0</v>
      </c>
      <c r="M17" s="20">
        <f>'TR TE'!$M$17*'TR TE'!$M$48</f>
        <v>0</v>
      </c>
      <c r="N17" s="20">
        <f>'TR TE'!$N$17*'TR TE'!$N$48</f>
        <v>0</v>
      </c>
      <c r="O17" s="20">
        <f>'TR TE'!$O$17*'TR TE'!$O$48</f>
        <v>0</v>
      </c>
      <c r="P17" s="20">
        <f>'TR TE'!$P$17*'TR TE'!$P$48</f>
        <v>0</v>
      </c>
      <c r="Q17" s="20">
        <f>SUM($L$17:$P$17)</f>
        <v>0</v>
      </c>
      <c r="R17" s="20">
        <f>'TR TE'!$R$17*'TR TE'!$R$48</f>
        <v>243.9939131003739</v>
      </c>
      <c r="S17" s="20">
        <f>SUM($R$17:$R$17)</f>
        <v>243.9939131003739</v>
      </c>
      <c r="T17" s="20">
        <f>'TR TE'!$T$17*'TR TE'!$T$48</f>
        <v>0</v>
      </c>
      <c r="U17" s="20">
        <f>'TR TE'!$U$17*'TR TE'!$U$48</f>
        <v>0</v>
      </c>
      <c r="V17" s="20">
        <f>'TR TE'!$V$17*'TR TE'!$V$48</f>
        <v>0</v>
      </c>
      <c r="W17" s="20">
        <f>SUM($T$17:$V$17)</f>
        <v>0</v>
      </c>
      <c r="X17" s="20"/>
      <c r="Y17" s="20">
        <f>SUM($X$17:$X$17)</f>
        <v>0</v>
      </c>
      <c r="Z17" s="20">
        <f>'TR TE'!$Z$17*'TR TE'!$Z$48</f>
        <v>0</v>
      </c>
      <c r="AA17" s="20">
        <f>SUM($Z$17:$Z$17)</f>
        <v>0</v>
      </c>
      <c r="AB17" s="20">
        <f>SUMIF($L$4:$AA$4,"SUBTOTAL",$L$17:$AA$17)</f>
        <v>243.9939131003739</v>
      </c>
    </row>
    <row r="18" spans="1:28" ht="11.25" customHeight="1" x14ac:dyDescent="0.25">
      <c r="A18" s="112"/>
      <c r="B18" s="112"/>
      <c r="C18" s="112"/>
      <c r="D18" s="23" t="s">
        <v>29</v>
      </c>
      <c r="E18" s="23" t="s">
        <v>25</v>
      </c>
      <c r="F18" s="23" t="s">
        <v>25</v>
      </c>
      <c r="G18" s="22" t="s">
        <v>69</v>
      </c>
      <c r="H18" s="22" t="s">
        <v>63</v>
      </c>
      <c r="I18" s="22">
        <f>'MERCADO TE'!$U$15</f>
        <v>0</v>
      </c>
      <c r="J18" s="15"/>
      <c r="L18" s="20">
        <f>'TR TE'!$L$18*'TR TE'!$L$48</f>
        <v>0</v>
      </c>
      <c r="M18" s="20">
        <f>'TR TE'!$M$18*'TR TE'!$M$48</f>
        <v>0</v>
      </c>
      <c r="N18" s="20">
        <f>'TR TE'!$N$18*'TR TE'!$N$48</f>
        <v>0</v>
      </c>
      <c r="O18" s="20">
        <f>'TR TE'!$O$18*'TR TE'!$O$48</f>
        <v>0</v>
      </c>
      <c r="P18" s="20">
        <f>'TR TE'!$P$18*'TR TE'!$P$48</f>
        <v>0</v>
      </c>
      <c r="Q18" s="20">
        <f>SUM($L$18:$P$18)</f>
        <v>0</v>
      </c>
      <c r="R18" s="20">
        <f>'TR TE'!$R$18*'TR TE'!$R$48</f>
        <v>243.9939131003739</v>
      </c>
      <c r="S18" s="20">
        <f>SUM($R$18:$R$18)</f>
        <v>243.9939131003739</v>
      </c>
      <c r="T18" s="20">
        <f>'TR TE'!$T$18*'TR TE'!$T$48</f>
        <v>0</v>
      </c>
      <c r="U18" s="20">
        <f>'TR TE'!$U$18*'TR TE'!$U$48</f>
        <v>0</v>
      </c>
      <c r="V18" s="20">
        <f>'TR TE'!$V$18*'TR TE'!$V$48</f>
        <v>0</v>
      </c>
      <c r="W18" s="20">
        <f>SUM($T$18:$V$18)</f>
        <v>0</v>
      </c>
      <c r="X18" s="20"/>
      <c r="Y18" s="20">
        <f>SUM($X$18:$X$18)</f>
        <v>0</v>
      </c>
      <c r="Z18" s="20">
        <f>'TR TE'!$Z$18*'TR TE'!$Z$48</f>
        <v>0</v>
      </c>
      <c r="AA18" s="20">
        <f>SUM($Z$18:$Z$18)</f>
        <v>0</v>
      </c>
      <c r="AB18" s="20">
        <f>SUMIF($L$4:$AA$4,"SUBTOTAL",$L$18:$AA$18)</f>
        <v>243.9939131003739</v>
      </c>
    </row>
    <row r="19" spans="1:28" ht="11.25" customHeight="1" x14ac:dyDescent="0.25">
      <c r="A19" s="112"/>
      <c r="B19" s="112"/>
      <c r="C19" s="112"/>
      <c r="D19" s="23" t="s">
        <v>30</v>
      </c>
      <c r="E19" s="23" t="s">
        <v>25</v>
      </c>
      <c r="F19" s="23" t="s">
        <v>25</v>
      </c>
      <c r="G19" s="22" t="s">
        <v>69</v>
      </c>
      <c r="H19" s="22" t="s">
        <v>63</v>
      </c>
      <c r="I19" s="22">
        <f>'MERCADO TE'!$U$16</f>
        <v>0</v>
      </c>
      <c r="J19" s="15"/>
      <c r="L19" s="20">
        <f>'TR TE'!$L$19*'TR TE'!$L$48</f>
        <v>0</v>
      </c>
      <c r="M19" s="20">
        <f>'TR TE'!$M$19*'TR TE'!$M$48</f>
        <v>0</v>
      </c>
      <c r="N19" s="20">
        <f>'TR TE'!$N$19*'TR TE'!$N$48</f>
        <v>0</v>
      </c>
      <c r="O19" s="20">
        <f>'TR TE'!$O$19*'TR TE'!$O$48</f>
        <v>0</v>
      </c>
      <c r="P19" s="20">
        <f>'TR TE'!$P$19*'TR TE'!$P$48</f>
        <v>0</v>
      </c>
      <c r="Q19" s="20">
        <f>SUM($L$19:$P$19)</f>
        <v>0</v>
      </c>
      <c r="R19" s="20">
        <f>'TR TE'!$R$19*'TR TE'!$R$48</f>
        <v>243.9939131003739</v>
      </c>
      <c r="S19" s="20">
        <f>SUM($R$19:$R$19)</f>
        <v>243.9939131003739</v>
      </c>
      <c r="T19" s="20">
        <f>'TR TE'!$T$19*'TR TE'!$T$48</f>
        <v>0</v>
      </c>
      <c r="U19" s="20">
        <f>'TR TE'!$U$19*'TR TE'!$U$48</f>
        <v>0</v>
      </c>
      <c r="V19" s="20">
        <f>'TR TE'!$V$19*'TR TE'!$V$48</f>
        <v>0</v>
      </c>
      <c r="W19" s="20">
        <f>SUM($T$19:$V$19)</f>
        <v>0</v>
      </c>
      <c r="X19" s="20"/>
      <c r="Y19" s="20">
        <f>SUM($X$19:$X$19)</f>
        <v>0</v>
      </c>
      <c r="Z19" s="20">
        <f>'TR TE'!$Z$19*'TR TE'!$Z$48</f>
        <v>0</v>
      </c>
      <c r="AA19" s="20">
        <f>SUM($Z$19:$Z$19)</f>
        <v>0</v>
      </c>
      <c r="AB19" s="20">
        <f>SUMIF($L$4:$AA$4,"SUBTOTAL",$L$19:$AA$19)</f>
        <v>243.9939131003739</v>
      </c>
    </row>
    <row r="20" spans="1:28" ht="11.25" customHeight="1" x14ac:dyDescent="0.25">
      <c r="A20" s="112" t="s">
        <v>39</v>
      </c>
      <c r="B20" s="112" t="s">
        <v>62</v>
      </c>
      <c r="C20" s="112" t="s">
        <v>40</v>
      </c>
      <c r="D20" s="112" t="s">
        <v>25</v>
      </c>
      <c r="E20" s="112" t="s">
        <v>25</v>
      </c>
      <c r="F20" s="112" t="s">
        <v>25</v>
      </c>
      <c r="G20" s="22" t="s">
        <v>64</v>
      </c>
      <c r="H20" s="22" t="s">
        <v>63</v>
      </c>
      <c r="I20" s="22">
        <f>'MERCADO TE'!$U$17</f>
        <v>0</v>
      </c>
      <c r="J20" s="15"/>
      <c r="L20" s="20">
        <f>'TR TE'!$L$20*'TR TE'!$L$48</f>
        <v>0</v>
      </c>
      <c r="M20" s="20">
        <f>'TR TE'!$M$20*'TR TE'!$M$48</f>
        <v>0</v>
      </c>
      <c r="N20" s="20">
        <f>'TR TE'!$N$20*'TR TE'!$N$48</f>
        <v>0</v>
      </c>
      <c r="O20" s="20">
        <f>'TR TE'!$O$20*'TR TE'!$O$48</f>
        <v>0</v>
      </c>
      <c r="P20" s="20">
        <f>'TR TE'!$P$20*'TR TE'!$P$48</f>
        <v>0</v>
      </c>
      <c r="Q20" s="20">
        <f>SUM($L$20:$P$20)</f>
        <v>0</v>
      </c>
      <c r="R20" s="20">
        <f>'TR TE'!$R$20*'TR TE'!$R$48</f>
        <v>243.9939131003739</v>
      </c>
      <c r="S20" s="20">
        <f>SUM($R$20:$R$20)</f>
        <v>243.9939131003739</v>
      </c>
      <c r="T20" s="20">
        <f>'TR TE'!$T$20*'TR TE'!$T$48</f>
        <v>0</v>
      </c>
      <c r="U20" s="20">
        <f>'TR TE'!$U$20*'TR TE'!$U$48</f>
        <v>0</v>
      </c>
      <c r="V20" s="20">
        <f>'TR TE'!$V$20*'TR TE'!$V$48</f>
        <v>0</v>
      </c>
      <c r="W20" s="20">
        <f>SUM($T$20:$V$20)</f>
        <v>0</v>
      </c>
      <c r="X20" s="20"/>
      <c r="Y20" s="20">
        <f>SUM($X$20:$X$20)</f>
        <v>0</v>
      </c>
      <c r="Z20" s="20">
        <f>'TR TE'!$Z$20*'TR TE'!$Z$48</f>
        <v>0</v>
      </c>
      <c r="AA20" s="20">
        <f>SUM($Z$20:$Z$20)</f>
        <v>0</v>
      </c>
      <c r="AB20" s="20">
        <f>SUMIF($L$4:$AA$4,"SUBTOTAL",$L$20:$AA$20)</f>
        <v>243.9939131003739</v>
      </c>
    </row>
    <row r="21" spans="1:28" ht="11.25" customHeight="1" x14ac:dyDescent="0.25">
      <c r="A21" s="112"/>
      <c r="B21" s="112"/>
      <c r="C21" s="112"/>
      <c r="D21" s="112"/>
      <c r="E21" s="112"/>
      <c r="F21" s="112"/>
      <c r="G21" s="22" t="s">
        <v>75</v>
      </c>
      <c r="H21" s="22" t="s">
        <v>63</v>
      </c>
      <c r="I21" s="22">
        <f>'MERCADO TE'!$U$18</f>
        <v>0</v>
      </c>
      <c r="J21" s="15"/>
      <c r="L21" s="20">
        <f>'TR TE'!$L$21*'TR TE'!$L$48</f>
        <v>0</v>
      </c>
      <c r="M21" s="20">
        <f>'TR TE'!$M$21*'TR TE'!$M$48</f>
        <v>0</v>
      </c>
      <c r="N21" s="20">
        <f>'TR TE'!$N$21*'TR TE'!$N$48</f>
        <v>0</v>
      </c>
      <c r="O21" s="20">
        <f>'TR TE'!$O$21*'TR TE'!$O$48</f>
        <v>0</v>
      </c>
      <c r="P21" s="20">
        <f>'TR TE'!$P$21*'TR TE'!$P$48</f>
        <v>0</v>
      </c>
      <c r="Q21" s="20">
        <f>SUM($L$21:$P$21)</f>
        <v>0</v>
      </c>
      <c r="R21" s="20">
        <f>'TR TE'!$R$21*'TR TE'!$R$48</f>
        <v>243.9939131003739</v>
      </c>
      <c r="S21" s="20">
        <f>SUM($R$21:$R$21)</f>
        <v>243.9939131003739</v>
      </c>
      <c r="T21" s="20">
        <f>'TR TE'!$T$21*'TR TE'!$T$48</f>
        <v>0</v>
      </c>
      <c r="U21" s="20">
        <f>'TR TE'!$U$21*'TR TE'!$U$48</f>
        <v>0</v>
      </c>
      <c r="V21" s="20">
        <f>'TR TE'!$V$21*'TR TE'!$V$48</f>
        <v>0</v>
      </c>
      <c r="W21" s="20">
        <f>SUM($T$21:$V$21)</f>
        <v>0</v>
      </c>
      <c r="X21" s="20"/>
      <c r="Y21" s="20">
        <f>SUM($X$21:$X$21)</f>
        <v>0</v>
      </c>
      <c r="Z21" s="20">
        <f>'TR TE'!$Z$21*'TR TE'!$Z$48</f>
        <v>0</v>
      </c>
      <c r="AA21" s="20">
        <f>SUM($Z$21:$Z$21)</f>
        <v>0</v>
      </c>
      <c r="AB21" s="20">
        <f>SUMIF($L$4:$AA$4,"SUBTOTAL",$L$21:$AA$21)</f>
        <v>243.9939131003739</v>
      </c>
    </row>
    <row r="22" spans="1:28" ht="11.25" customHeight="1" x14ac:dyDescent="0.25">
      <c r="A22" s="112"/>
      <c r="B22" s="112"/>
      <c r="C22" s="112"/>
      <c r="D22" s="112"/>
      <c r="E22" s="112"/>
      <c r="F22" s="112"/>
      <c r="G22" s="22" t="s">
        <v>65</v>
      </c>
      <c r="H22" s="22" t="s">
        <v>63</v>
      </c>
      <c r="I22" s="22">
        <f>'MERCADO TE'!$U$19</f>
        <v>0</v>
      </c>
      <c r="J22" s="15"/>
      <c r="L22" s="20">
        <f>'TR TE'!$L$22*'TR TE'!$L$48</f>
        <v>0</v>
      </c>
      <c r="M22" s="20">
        <f>'TR TE'!$M$22*'TR TE'!$M$48</f>
        <v>0</v>
      </c>
      <c r="N22" s="20">
        <f>'TR TE'!$N$22*'TR TE'!$N$48</f>
        <v>0</v>
      </c>
      <c r="O22" s="20">
        <f>'TR TE'!$O$22*'TR TE'!$O$48</f>
        <v>0</v>
      </c>
      <c r="P22" s="20">
        <f>'TR TE'!$P$22*'TR TE'!$P$48</f>
        <v>0</v>
      </c>
      <c r="Q22" s="20">
        <f>SUM($L$22:$P$22)</f>
        <v>0</v>
      </c>
      <c r="R22" s="20">
        <f>'TR TE'!$R$22*'TR TE'!$R$48</f>
        <v>243.9939131003739</v>
      </c>
      <c r="S22" s="20">
        <f>SUM($R$22:$R$22)</f>
        <v>243.9939131003739</v>
      </c>
      <c r="T22" s="20">
        <f>'TR TE'!$T$22*'TR TE'!$T$48</f>
        <v>0</v>
      </c>
      <c r="U22" s="20">
        <f>'TR TE'!$U$22*'TR TE'!$U$48</f>
        <v>0</v>
      </c>
      <c r="V22" s="20">
        <f>'TR TE'!$V$22*'TR TE'!$V$48</f>
        <v>0</v>
      </c>
      <c r="W22" s="20">
        <f>SUM($T$22:$V$22)</f>
        <v>0</v>
      </c>
      <c r="X22" s="20"/>
      <c r="Y22" s="20">
        <f>SUM($X$22:$X$22)</f>
        <v>0</v>
      </c>
      <c r="Z22" s="20">
        <f>'TR TE'!$Z$22*'TR TE'!$Z$48</f>
        <v>0</v>
      </c>
      <c r="AA22" s="20">
        <f>SUM($Z$22:$Z$22)</f>
        <v>0</v>
      </c>
      <c r="AB22" s="20">
        <f>SUMIF($L$4:$AA$4,"SUBTOTAL",$L$22:$AA$22)</f>
        <v>243.9939131003739</v>
      </c>
    </row>
    <row r="23" spans="1:28" ht="11.25" customHeight="1" x14ac:dyDescent="0.25">
      <c r="A23" s="112"/>
      <c r="B23" s="23" t="s">
        <v>76</v>
      </c>
      <c r="C23" s="23" t="s">
        <v>40</v>
      </c>
      <c r="D23" s="23" t="s">
        <v>25</v>
      </c>
      <c r="E23" s="23" t="s">
        <v>25</v>
      </c>
      <c r="F23" s="23" t="s">
        <v>25</v>
      </c>
      <c r="G23" s="22" t="s">
        <v>69</v>
      </c>
      <c r="H23" s="22" t="s">
        <v>63</v>
      </c>
      <c r="I23" s="22">
        <f>'MERCADO TE'!$U$20</f>
        <v>668.58</v>
      </c>
      <c r="J23" s="15"/>
      <c r="L23" s="20">
        <f>'TR TE'!$L$23*'TR TE'!$L$48</f>
        <v>0</v>
      </c>
      <c r="M23" s="20">
        <f>'TR TE'!$M$23*'TR TE'!$M$48</f>
        <v>0</v>
      </c>
      <c r="N23" s="20">
        <f>'TR TE'!$N$23*'TR TE'!$N$48</f>
        <v>0</v>
      </c>
      <c r="O23" s="20">
        <f>'TR TE'!$O$23*'TR TE'!$O$48</f>
        <v>0</v>
      </c>
      <c r="P23" s="20">
        <f>'TR TE'!$P$23*'TR TE'!$P$48</f>
        <v>0</v>
      </c>
      <c r="Q23" s="20">
        <f>SUM($L$23:$P$23)</f>
        <v>0</v>
      </c>
      <c r="R23" s="20">
        <f>'TR TE'!$R$23*'TR TE'!$R$48</f>
        <v>243.9939131003739</v>
      </c>
      <c r="S23" s="20">
        <f>SUM($R$23:$R$23)</f>
        <v>243.9939131003739</v>
      </c>
      <c r="T23" s="20">
        <f>'TR TE'!$T$23*'TR TE'!$T$48</f>
        <v>0</v>
      </c>
      <c r="U23" s="20">
        <f>'TR TE'!$U$23*'TR TE'!$U$48</f>
        <v>0</v>
      </c>
      <c r="V23" s="20">
        <f>'TR TE'!$V$23*'TR TE'!$V$48</f>
        <v>0</v>
      </c>
      <c r="W23" s="20">
        <f>SUM($T$23:$V$23)</f>
        <v>0</v>
      </c>
      <c r="X23" s="20"/>
      <c r="Y23" s="20">
        <f>SUM($X$23:$X$23)</f>
        <v>0</v>
      </c>
      <c r="Z23" s="20">
        <f>'TR TE'!$Z$23*'TR TE'!$Z$48</f>
        <v>0</v>
      </c>
      <c r="AA23" s="20">
        <f>SUM($Z$23:$Z$23)</f>
        <v>0</v>
      </c>
      <c r="AB23" s="20">
        <f>SUMIF($L$4:$AA$4,"SUBTOTAL",$L$23:$AA$23)</f>
        <v>243.9939131003739</v>
      </c>
    </row>
    <row r="24" spans="1:28" ht="11.25" customHeight="1" x14ac:dyDescent="0.25">
      <c r="A24" s="112"/>
      <c r="B24" s="112" t="s">
        <v>62</v>
      </c>
      <c r="C24" s="112" t="s">
        <v>40</v>
      </c>
      <c r="D24" s="112" t="s">
        <v>80</v>
      </c>
      <c r="E24" s="112" t="s">
        <v>25</v>
      </c>
      <c r="F24" s="112" t="s">
        <v>25</v>
      </c>
      <c r="G24" s="22" t="s">
        <v>64</v>
      </c>
      <c r="H24" s="22" t="s">
        <v>63</v>
      </c>
      <c r="I24" s="22">
        <f>'MERCADO TE'!$U$21</f>
        <v>0</v>
      </c>
      <c r="J24" s="15"/>
      <c r="L24" s="20">
        <f>'TR TE'!$L$24*'TR TE'!$L$48</f>
        <v>0</v>
      </c>
      <c r="M24" s="20">
        <f>'TR TE'!$M$24*'TR TE'!$M$48</f>
        <v>0</v>
      </c>
      <c r="N24" s="20">
        <f>'TR TE'!$N$24*'TR TE'!$N$48</f>
        <v>0</v>
      </c>
      <c r="O24" s="20">
        <f>'TR TE'!$O$24*'TR TE'!$O$48</f>
        <v>0</v>
      </c>
      <c r="P24" s="20">
        <f>'TR TE'!$P$24*'TR TE'!$P$48</f>
        <v>0</v>
      </c>
      <c r="Q24" s="20">
        <f>SUM($L$24:$P$24)</f>
        <v>0</v>
      </c>
      <c r="R24" s="20">
        <f>'TR TE'!$R$24*'TR TE'!$R$48</f>
        <v>243.9939131003739</v>
      </c>
      <c r="S24" s="20">
        <f>SUM($R$24:$R$24)</f>
        <v>243.9939131003739</v>
      </c>
      <c r="T24" s="20">
        <f>'TR TE'!$T$24*'TR TE'!$T$48</f>
        <v>0</v>
      </c>
      <c r="U24" s="20">
        <f>'TR TE'!$U$24*'TR TE'!$U$48</f>
        <v>0</v>
      </c>
      <c r="V24" s="20">
        <f>'TR TE'!$V$24*'TR TE'!$V$48</f>
        <v>0</v>
      </c>
      <c r="W24" s="20">
        <f>SUM($T$24:$V$24)</f>
        <v>0</v>
      </c>
      <c r="X24" s="20"/>
      <c r="Y24" s="20">
        <f>SUM($X$24:$X$24)</f>
        <v>0</v>
      </c>
      <c r="Z24" s="20">
        <f>'TR TE'!$Z$24*'TR TE'!$Z$48</f>
        <v>0</v>
      </c>
      <c r="AA24" s="20">
        <f>SUM($Z$24:$Z$24)</f>
        <v>0</v>
      </c>
      <c r="AB24" s="20">
        <f>SUMIF($L$4:$AA$4,"SUBTOTAL",$L$24:$AA$24)</f>
        <v>243.9939131003739</v>
      </c>
    </row>
    <row r="25" spans="1:28" ht="11.25" customHeight="1" x14ac:dyDescent="0.25">
      <c r="A25" s="112"/>
      <c r="B25" s="112"/>
      <c r="C25" s="112"/>
      <c r="D25" s="112"/>
      <c r="E25" s="112"/>
      <c r="F25" s="112"/>
      <c r="G25" s="22" t="s">
        <v>75</v>
      </c>
      <c r="H25" s="22" t="s">
        <v>63</v>
      </c>
      <c r="I25" s="22">
        <f>'MERCADO TE'!$U$22</f>
        <v>0</v>
      </c>
      <c r="J25" s="15"/>
      <c r="L25" s="20">
        <f>'TR TE'!$L$25*'TR TE'!$L$48</f>
        <v>0</v>
      </c>
      <c r="M25" s="20">
        <f>'TR TE'!$M$25*'TR TE'!$M$48</f>
        <v>0</v>
      </c>
      <c r="N25" s="20">
        <f>'TR TE'!$N$25*'TR TE'!$N$48</f>
        <v>0</v>
      </c>
      <c r="O25" s="20">
        <f>'TR TE'!$O$25*'TR TE'!$O$48</f>
        <v>0</v>
      </c>
      <c r="P25" s="20">
        <f>'TR TE'!$P$25*'TR TE'!$P$48</f>
        <v>0</v>
      </c>
      <c r="Q25" s="20">
        <f>SUM($L$25:$P$25)</f>
        <v>0</v>
      </c>
      <c r="R25" s="20">
        <f>'TR TE'!$R$25*'TR TE'!$R$48</f>
        <v>243.9939131003739</v>
      </c>
      <c r="S25" s="20">
        <f>SUM($R$25:$R$25)</f>
        <v>243.9939131003739</v>
      </c>
      <c r="T25" s="20">
        <f>'TR TE'!$T$25*'TR TE'!$T$48</f>
        <v>0</v>
      </c>
      <c r="U25" s="20">
        <f>'TR TE'!$U$25*'TR TE'!$U$48</f>
        <v>0</v>
      </c>
      <c r="V25" s="20">
        <f>'TR TE'!$V$25*'TR TE'!$V$48</f>
        <v>0</v>
      </c>
      <c r="W25" s="20">
        <f>SUM($T$25:$V$25)</f>
        <v>0</v>
      </c>
      <c r="X25" s="20"/>
      <c r="Y25" s="20">
        <f>SUM($X$25:$X$25)</f>
        <v>0</v>
      </c>
      <c r="Z25" s="20">
        <f>'TR TE'!$Z$25*'TR TE'!$Z$48</f>
        <v>0</v>
      </c>
      <c r="AA25" s="20">
        <f>SUM($Z$25:$Z$25)</f>
        <v>0</v>
      </c>
      <c r="AB25" s="20">
        <f>SUMIF($L$4:$AA$4,"SUBTOTAL",$L$25:$AA$25)</f>
        <v>243.9939131003739</v>
      </c>
    </row>
    <row r="26" spans="1:28" ht="11.25" customHeight="1" x14ac:dyDescent="0.25">
      <c r="A26" s="112"/>
      <c r="B26" s="112"/>
      <c r="C26" s="112"/>
      <c r="D26" s="112"/>
      <c r="E26" s="112"/>
      <c r="F26" s="112"/>
      <c r="G26" s="22" t="s">
        <v>65</v>
      </c>
      <c r="H26" s="22" t="s">
        <v>63</v>
      </c>
      <c r="I26" s="22">
        <f>'MERCADO TE'!$U$23</f>
        <v>0</v>
      </c>
      <c r="J26" s="15"/>
      <c r="L26" s="20">
        <f>'TR TE'!$L$26*'TR TE'!$L$48</f>
        <v>0</v>
      </c>
      <c r="M26" s="20">
        <f>'TR TE'!$M$26*'TR TE'!$M$48</f>
        <v>0</v>
      </c>
      <c r="N26" s="20">
        <f>'TR TE'!$N$26*'TR TE'!$N$48</f>
        <v>0</v>
      </c>
      <c r="O26" s="20">
        <f>'TR TE'!$O$26*'TR TE'!$O$48</f>
        <v>0</v>
      </c>
      <c r="P26" s="20">
        <f>'TR TE'!$P$26*'TR TE'!$P$48</f>
        <v>0</v>
      </c>
      <c r="Q26" s="20">
        <f>SUM($L$26:$P$26)</f>
        <v>0</v>
      </c>
      <c r="R26" s="20">
        <f>'TR TE'!$R$26*'TR TE'!$R$48</f>
        <v>243.9939131003739</v>
      </c>
      <c r="S26" s="20">
        <f>SUM($R$26:$R$26)</f>
        <v>243.9939131003739</v>
      </c>
      <c r="T26" s="20">
        <f>'TR TE'!$T$26*'TR TE'!$T$48</f>
        <v>0</v>
      </c>
      <c r="U26" s="20">
        <f>'TR TE'!$U$26*'TR TE'!$U$48</f>
        <v>0</v>
      </c>
      <c r="V26" s="20">
        <f>'TR TE'!$V$26*'TR TE'!$V$48</f>
        <v>0</v>
      </c>
      <c r="W26" s="20">
        <f>SUM($T$26:$V$26)</f>
        <v>0</v>
      </c>
      <c r="X26" s="20"/>
      <c r="Y26" s="20">
        <f>SUM($X$26:$X$26)</f>
        <v>0</v>
      </c>
      <c r="Z26" s="20">
        <f>'TR TE'!$Z$26*'TR TE'!$Z$48</f>
        <v>0</v>
      </c>
      <c r="AA26" s="20">
        <f>SUM($Z$26:$Z$26)</f>
        <v>0</v>
      </c>
      <c r="AB26" s="20">
        <f>SUMIF($L$4:$AA$4,"SUBTOTAL",$L$26:$AA$26)</f>
        <v>243.9939131003739</v>
      </c>
    </row>
    <row r="27" spans="1:28" ht="11.25" customHeight="1" x14ac:dyDescent="0.25">
      <c r="A27" s="112"/>
      <c r="B27" s="23" t="s">
        <v>76</v>
      </c>
      <c r="C27" s="23" t="s">
        <v>40</v>
      </c>
      <c r="D27" s="23" t="s">
        <v>80</v>
      </c>
      <c r="E27" s="23" t="s">
        <v>25</v>
      </c>
      <c r="F27" s="23" t="s">
        <v>25</v>
      </c>
      <c r="G27" s="22" t="s">
        <v>69</v>
      </c>
      <c r="H27" s="22" t="s">
        <v>63</v>
      </c>
      <c r="I27" s="22">
        <f>'MERCADO TE'!$U$24</f>
        <v>0</v>
      </c>
      <c r="J27" s="15"/>
      <c r="L27" s="20">
        <f>'TR TE'!$L$27*'TR TE'!$L$48</f>
        <v>0</v>
      </c>
      <c r="M27" s="20">
        <f>'TR TE'!$M$27*'TR TE'!$M$48</f>
        <v>0</v>
      </c>
      <c r="N27" s="20">
        <f>'TR TE'!$N$27*'TR TE'!$N$48</f>
        <v>0</v>
      </c>
      <c r="O27" s="20">
        <f>'TR TE'!$O$27*'TR TE'!$O$48</f>
        <v>0</v>
      </c>
      <c r="P27" s="20">
        <f>'TR TE'!$P$27*'TR TE'!$P$48</f>
        <v>0</v>
      </c>
      <c r="Q27" s="20">
        <f>SUM($L$27:$P$27)</f>
        <v>0</v>
      </c>
      <c r="R27" s="20">
        <f>'TR TE'!$R$27*'TR TE'!$R$48</f>
        <v>243.9939131003739</v>
      </c>
      <c r="S27" s="20">
        <f>SUM($R$27:$R$27)</f>
        <v>243.9939131003739</v>
      </c>
      <c r="T27" s="20">
        <f>'TR TE'!$T$27*'TR TE'!$T$48</f>
        <v>0</v>
      </c>
      <c r="U27" s="20">
        <f>'TR TE'!$U$27*'TR TE'!$U$48</f>
        <v>0</v>
      </c>
      <c r="V27" s="20">
        <f>'TR TE'!$V$27*'TR TE'!$V$48</f>
        <v>0</v>
      </c>
      <c r="W27" s="20">
        <f>SUM($T$27:$V$27)</f>
        <v>0</v>
      </c>
      <c r="X27" s="20"/>
      <c r="Y27" s="20">
        <f>SUM($X$27:$X$27)</f>
        <v>0</v>
      </c>
      <c r="Z27" s="20">
        <f>'TR TE'!$Z$27*'TR TE'!$Z$48</f>
        <v>0</v>
      </c>
      <c r="AA27" s="20">
        <f>SUM($Z$27:$Z$27)</f>
        <v>0</v>
      </c>
      <c r="AB27" s="20">
        <f>SUMIF($L$4:$AA$4,"SUBTOTAL",$L$27:$AA$27)</f>
        <v>243.9939131003739</v>
      </c>
    </row>
    <row r="28" spans="1:28" ht="11.25" customHeight="1" x14ac:dyDescent="0.25">
      <c r="A28" s="112"/>
      <c r="B28" s="112" t="s">
        <v>62</v>
      </c>
      <c r="C28" s="112" t="s">
        <v>40</v>
      </c>
      <c r="D28" s="112" t="s">
        <v>81</v>
      </c>
      <c r="E28" s="112" t="s">
        <v>25</v>
      </c>
      <c r="F28" s="112" t="s">
        <v>25</v>
      </c>
      <c r="G28" s="22" t="s">
        <v>64</v>
      </c>
      <c r="H28" s="22" t="s">
        <v>63</v>
      </c>
      <c r="I28" s="22">
        <f>'MERCADO TE'!$U$25</f>
        <v>0</v>
      </c>
      <c r="J28" s="15"/>
      <c r="L28" s="20">
        <f>'TR TE'!$L$28*'TR TE'!$L$48</f>
        <v>0</v>
      </c>
      <c r="M28" s="20">
        <f>'TR TE'!$M$28*'TR TE'!$M$48</f>
        <v>0</v>
      </c>
      <c r="N28" s="20">
        <f>'TR TE'!$N$28*'TR TE'!$N$48</f>
        <v>0</v>
      </c>
      <c r="O28" s="20">
        <f>'TR TE'!$O$28*'TR TE'!$O$48</f>
        <v>0</v>
      </c>
      <c r="P28" s="20">
        <f>'TR TE'!$P$28*'TR TE'!$P$48</f>
        <v>0</v>
      </c>
      <c r="Q28" s="20">
        <f>SUM($L$28:$P$28)</f>
        <v>0</v>
      </c>
      <c r="R28" s="20">
        <f>'TR TE'!$R$28*'TR TE'!$R$48</f>
        <v>243.9939131003739</v>
      </c>
      <c r="S28" s="20">
        <f>SUM($R$28:$R$28)</f>
        <v>243.9939131003739</v>
      </c>
      <c r="T28" s="20">
        <f>'TR TE'!$T$28*'TR TE'!$T$48</f>
        <v>0</v>
      </c>
      <c r="U28" s="20">
        <f>'TR TE'!$U$28*'TR TE'!$U$48</f>
        <v>0</v>
      </c>
      <c r="V28" s="20">
        <f>'TR TE'!$V$28*'TR TE'!$V$48</f>
        <v>0</v>
      </c>
      <c r="W28" s="20">
        <f>SUM($T$28:$V$28)</f>
        <v>0</v>
      </c>
      <c r="X28" s="20"/>
      <c r="Y28" s="20">
        <f>SUM($X$28:$X$28)</f>
        <v>0</v>
      </c>
      <c r="Z28" s="20">
        <f>'TR TE'!$Z$28*'TR TE'!$Z$48</f>
        <v>0</v>
      </c>
      <c r="AA28" s="20">
        <f>SUM($Z$28:$Z$28)</f>
        <v>0</v>
      </c>
      <c r="AB28" s="20">
        <f>SUMIF($L$4:$AA$4,"SUBTOTAL",$L$28:$AA$28)</f>
        <v>243.9939131003739</v>
      </c>
    </row>
    <row r="29" spans="1:28" ht="11.25" customHeight="1" x14ac:dyDescent="0.25">
      <c r="A29" s="112"/>
      <c r="B29" s="112"/>
      <c r="C29" s="112"/>
      <c r="D29" s="112"/>
      <c r="E29" s="112"/>
      <c r="F29" s="112"/>
      <c r="G29" s="22" t="s">
        <v>75</v>
      </c>
      <c r="H29" s="22" t="s">
        <v>63</v>
      </c>
      <c r="I29" s="22">
        <f>'MERCADO TE'!$U$26</f>
        <v>0</v>
      </c>
      <c r="J29" s="15"/>
      <c r="L29" s="20">
        <f>'TR TE'!$L$29*'TR TE'!$L$48</f>
        <v>0</v>
      </c>
      <c r="M29" s="20">
        <f>'TR TE'!$M$29*'TR TE'!$M$48</f>
        <v>0</v>
      </c>
      <c r="N29" s="20">
        <f>'TR TE'!$N$29*'TR TE'!$N$48</f>
        <v>0</v>
      </c>
      <c r="O29" s="20">
        <f>'TR TE'!$O$29*'TR TE'!$O$48</f>
        <v>0</v>
      </c>
      <c r="P29" s="20">
        <f>'TR TE'!$P$29*'TR TE'!$P$48</f>
        <v>0</v>
      </c>
      <c r="Q29" s="20">
        <f>SUM($L$29:$P$29)</f>
        <v>0</v>
      </c>
      <c r="R29" s="20">
        <f>'TR TE'!$R$29*'TR TE'!$R$48</f>
        <v>243.9939131003739</v>
      </c>
      <c r="S29" s="20">
        <f>SUM($R$29:$R$29)</f>
        <v>243.9939131003739</v>
      </c>
      <c r="T29" s="20">
        <f>'TR TE'!$T$29*'TR TE'!$T$48</f>
        <v>0</v>
      </c>
      <c r="U29" s="20">
        <f>'TR TE'!$U$29*'TR TE'!$U$48</f>
        <v>0</v>
      </c>
      <c r="V29" s="20">
        <f>'TR TE'!$V$29*'TR TE'!$V$48</f>
        <v>0</v>
      </c>
      <c r="W29" s="20">
        <f>SUM($T$29:$V$29)</f>
        <v>0</v>
      </c>
      <c r="X29" s="20"/>
      <c r="Y29" s="20">
        <f>SUM($X$29:$X$29)</f>
        <v>0</v>
      </c>
      <c r="Z29" s="20">
        <f>'TR TE'!$Z$29*'TR TE'!$Z$48</f>
        <v>0</v>
      </c>
      <c r="AA29" s="20">
        <f>SUM($Z$29:$Z$29)</f>
        <v>0</v>
      </c>
      <c r="AB29" s="20">
        <f>SUMIF($L$4:$AA$4,"SUBTOTAL",$L$29:$AA$29)</f>
        <v>243.9939131003739</v>
      </c>
    </row>
    <row r="30" spans="1:28" ht="11.25" customHeight="1" x14ac:dyDescent="0.25">
      <c r="A30" s="112"/>
      <c r="B30" s="112"/>
      <c r="C30" s="112"/>
      <c r="D30" s="112"/>
      <c r="E30" s="112"/>
      <c r="F30" s="112"/>
      <c r="G30" s="22" t="s">
        <v>65</v>
      </c>
      <c r="H30" s="22" t="s">
        <v>63</v>
      </c>
      <c r="I30" s="22">
        <f>'MERCADO TE'!$U$27</f>
        <v>0</v>
      </c>
      <c r="J30" s="15"/>
      <c r="L30" s="20">
        <f>'TR TE'!$L$30*'TR TE'!$L$48</f>
        <v>0</v>
      </c>
      <c r="M30" s="20">
        <f>'TR TE'!$M$30*'TR TE'!$M$48</f>
        <v>0</v>
      </c>
      <c r="N30" s="20">
        <f>'TR TE'!$N$30*'TR TE'!$N$48</f>
        <v>0</v>
      </c>
      <c r="O30" s="20">
        <f>'TR TE'!$O$30*'TR TE'!$O$48</f>
        <v>0</v>
      </c>
      <c r="P30" s="20">
        <f>'TR TE'!$P$30*'TR TE'!$P$48</f>
        <v>0</v>
      </c>
      <c r="Q30" s="20">
        <f>SUM($L$30:$P$30)</f>
        <v>0</v>
      </c>
      <c r="R30" s="20">
        <f>'TR TE'!$R$30*'TR TE'!$R$48</f>
        <v>243.9939131003739</v>
      </c>
      <c r="S30" s="20">
        <f>SUM($R$30:$R$30)</f>
        <v>243.9939131003739</v>
      </c>
      <c r="T30" s="20">
        <f>'TR TE'!$T$30*'TR TE'!$T$48</f>
        <v>0</v>
      </c>
      <c r="U30" s="20">
        <f>'TR TE'!$U$30*'TR TE'!$U$48</f>
        <v>0</v>
      </c>
      <c r="V30" s="20">
        <f>'TR TE'!$V$30*'TR TE'!$V$48</f>
        <v>0</v>
      </c>
      <c r="W30" s="20">
        <f>SUM($T$30:$V$30)</f>
        <v>0</v>
      </c>
      <c r="X30" s="20"/>
      <c r="Y30" s="20">
        <f>SUM($X$30:$X$30)</f>
        <v>0</v>
      </c>
      <c r="Z30" s="20">
        <f>'TR TE'!$Z$30*'TR TE'!$Z$48</f>
        <v>0</v>
      </c>
      <c r="AA30" s="20">
        <f>SUM($Z$30:$Z$30)</f>
        <v>0</v>
      </c>
      <c r="AB30" s="20">
        <f>SUMIF($L$4:$AA$4,"SUBTOTAL",$L$30:$AA$30)</f>
        <v>243.9939131003739</v>
      </c>
    </row>
    <row r="31" spans="1:28" ht="11.25" customHeight="1" x14ac:dyDescent="0.25">
      <c r="A31" s="112"/>
      <c r="B31" s="23" t="s">
        <v>76</v>
      </c>
      <c r="C31" s="23" t="s">
        <v>40</v>
      </c>
      <c r="D31" s="23" t="s">
        <v>81</v>
      </c>
      <c r="E31" s="23" t="s">
        <v>25</v>
      </c>
      <c r="F31" s="23" t="s">
        <v>25</v>
      </c>
      <c r="G31" s="22" t="s">
        <v>69</v>
      </c>
      <c r="H31" s="22" t="s">
        <v>63</v>
      </c>
      <c r="I31" s="22">
        <f>'MERCADO TE'!$U$28</f>
        <v>0</v>
      </c>
      <c r="J31" s="15"/>
      <c r="L31" s="20">
        <f>'TR TE'!$L$31*'TR TE'!$L$48</f>
        <v>0</v>
      </c>
      <c r="M31" s="20">
        <f>'TR TE'!$M$31*'TR TE'!$M$48</f>
        <v>0</v>
      </c>
      <c r="N31" s="20">
        <f>'TR TE'!$N$31*'TR TE'!$N$48</f>
        <v>0</v>
      </c>
      <c r="O31" s="20">
        <f>'TR TE'!$O$31*'TR TE'!$O$48</f>
        <v>0</v>
      </c>
      <c r="P31" s="20">
        <f>'TR TE'!$P$31*'TR TE'!$P$48</f>
        <v>0</v>
      </c>
      <c r="Q31" s="20">
        <f>SUM($L$31:$P$31)</f>
        <v>0</v>
      </c>
      <c r="R31" s="20">
        <f>'TR TE'!$R$31*'TR TE'!$R$48</f>
        <v>243.9939131003739</v>
      </c>
      <c r="S31" s="20">
        <f>SUM($R$31:$R$31)</f>
        <v>243.9939131003739</v>
      </c>
      <c r="T31" s="20">
        <f>'TR TE'!$T$31*'TR TE'!$T$48</f>
        <v>0</v>
      </c>
      <c r="U31" s="20">
        <f>'TR TE'!$U$31*'TR TE'!$U$48</f>
        <v>0</v>
      </c>
      <c r="V31" s="20">
        <f>'TR TE'!$V$31*'TR TE'!$V$48</f>
        <v>0</v>
      </c>
      <c r="W31" s="20">
        <f>SUM($T$31:$V$31)</f>
        <v>0</v>
      </c>
      <c r="X31" s="20"/>
      <c r="Y31" s="20">
        <f>SUM($X$31:$X$31)</f>
        <v>0</v>
      </c>
      <c r="Z31" s="20">
        <f>'TR TE'!$Z$31*'TR TE'!$Z$48</f>
        <v>0</v>
      </c>
      <c r="AA31" s="20">
        <f>SUM($Z$31:$Z$31)</f>
        <v>0</v>
      </c>
      <c r="AB31" s="20">
        <f>SUMIF($L$4:$AA$4,"SUBTOTAL",$L$31:$AA$31)</f>
        <v>243.9939131003739</v>
      </c>
    </row>
    <row r="32" spans="1:28" ht="11.25" customHeight="1" x14ac:dyDescent="0.25">
      <c r="A32" s="112"/>
      <c r="B32" s="112" t="s">
        <v>78</v>
      </c>
      <c r="C32" s="112" t="s">
        <v>40</v>
      </c>
      <c r="D32" s="23" t="s">
        <v>25</v>
      </c>
      <c r="E32" s="23" t="s">
        <v>25</v>
      </c>
      <c r="F32" s="23" t="s">
        <v>25</v>
      </c>
      <c r="G32" s="22" t="s">
        <v>69</v>
      </c>
      <c r="H32" s="22" t="s">
        <v>63</v>
      </c>
      <c r="I32" s="22">
        <f>'MERCADO TE'!$U$29</f>
        <v>0</v>
      </c>
      <c r="J32" s="15"/>
      <c r="L32" s="20">
        <f>'TR TE'!$L$32*'TR TE'!$L$48</f>
        <v>0</v>
      </c>
      <c r="M32" s="20">
        <f>'TR TE'!$M$32*'TR TE'!$M$48</f>
        <v>0</v>
      </c>
      <c r="N32" s="20">
        <f>'TR TE'!$N$32*'TR TE'!$N$48</f>
        <v>0</v>
      </c>
      <c r="O32" s="20">
        <f>'TR TE'!$O$32*'TR TE'!$O$48</f>
        <v>0</v>
      </c>
      <c r="P32" s="20">
        <f>'TR TE'!$P$32*'TR TE'!$P$48</f>
        <v>0</v>
      </c>
      <c r="Q32" s="20">
        <f>SUM($L$32:$P$32)</f>
        <v>0</v>
      </c>
      <c r="R32" s="20">
        <f>'TR TE'!$R$32*'TR TE'!$R$48</f>
        <v>243.9939131003739</v>
      </c>
      <c r="S32" s="20">
        <f>SUM($R$32:$R$32)</f>
        <v>243.9939131003739</v>
      </c>
      <c r="T32" s="20">
        <f>'TR TE'!$T$32*'TR TE'!$T$48</f>
        <v>0</v>
      </c>
      <c r="U32" s="20">
        <f>'TR TE'!$U$32*'TR TE'!$U$48</f>
        <v>0</v>
      </c>
      <c r="V32" s="20">
        <f>'TR TE'!$V$32*'TR TE'!$V$48</f>
        <v>0</v>
      </c>
      <c r="W32" s="20">
        <f>SUM($T$32:$V$32)</f>
        <v>0</v>
      </c>
      <c r="X32" s="20"/>
      <c r="Y32" s="20">
        <f>SUM($X$32:$X$32)</f>
        <v>0</v>
      </c>
      <c r="Z32" s="20">
        <f>'TR TE'!$Z$32*'TR TE'!$Z$48</f>
        <v>0</v>
      </c>
      <c r="AA32" s="20">
        <f>SUM($Z$32:$Z$32)</f>
        <v>0</v>
      </c>
      <c r="AB32" s="20">
        <f>SUMIF($L$4:$AA$4,"SUBTOTAL",$L$32:$AA$32)</f>
        <v>243.9939131003739</v>
      </c>
    </row>
    <row r="33" spans="1:28" ht="11.25" customHeight="1" x14ac:dyDescent="0.25">
      <c r="A33" s="112"/>
      <c r="B33" s="112"/>
      <c r="C33" s="112"/>
      <c r="D33" s="23" t="s">
        <v>80</v>
      </c>
      <c r="E33" s="23" t="s">
        <v>25</v>
      </c>
      <c r="F33" s="23" t="s">
        <v>25</v>
      </c>
      <c r="G33" s="22" t="s">
        <v>69</v>
      </c>
      <c r="H33" s="22" t="s">
        <v>63</v>
      </c>
      <c r="I33" s="22">
        <f>'MERCADO TE'!$U$30</f>
        <v>0</v>
      </c>
      <c r="J33" s="15"/>
      <c r="L33" s="20">
        <f>'TR TE'!$L$33*'TR TE'!$L$48</f>
        <v>0</v>
      </c>
      <c r="M33" s="20">
        <f>'TR TE'!$M$33*'TR TE'!$M$48</f>
        <v>0</v>
      </c>
      <c r="N33" s="20">
        <f>'TR TE'!$N$33*'TR TE'!$N$48</f>
        <v>0</v>
      </c>
      <c r="O33" s="20">
        <f>'TR TE'!$O$33*'TR TE'!$O$48</f>
        <v>0</v>
      </c>
      <c r="P33" s="20">
        <f>'TR TE'!$P$33*'TR TE'!$P$48</f>
        <v>0</v>
      </c>
      <c r="Q33" s="20">
        <f>SUM($L$33:$P$33)</f>
        <v>0</v>
      </c>
      <c r="R33" s="20">
        <f>'TR TE'!$R$33*'TR TE'!$R$48</f>
        <v>243.9939131003739</v>
      </c>
      <c r="S33" s="20">
        <f>SUM($R$33:$R$33)</f>
        <v>243.9939131003739</v>
      </c>
      <c r="T33" s="20">
        <f>'TR TE'!$T$33*'TR TE'!$T$48</f>
        <v>0</v>
      </c>
      <c r="U33" s="20">
        <f>'TR TE'!$U$33*'TR TE'!$U$48</f>
        <v>0</v>
      </c>
      <c r="V33" s="20">
        <f>'TR TE'!$V$33*'TR TE'!$V$48</f>
        <v>0</v>
      </c>
      <c r="W33" s="20">
        <f>SUM($T$33:$V$33)</f>
        <v>0</v>
      </c>
      <c r="X33" s="20"/>
      <c r="Y33" s="20">
        <f>SUM($X$33:$X$33)</f>
        <v>0</v>
      </c>
      <c r="Z33" s="20">
        <f>'TR TE'!$Z$33*'TR TE'!$Z$48</f>
        <v>0</v>
      </c>
      <c r="AA33" s="20">
        <f>SUM($Z$33:$Z$33)</f>
        <v>0</v>
      </c>
      <c r="AB33" s="20">
        <f>SUMIF($L$4:$AA$4,"SUBTOTAL",$L$33:$AA$33)</f>
        <v>243.9939131003739</v>
      </c>
    </row>
    <row r="34" spans="1:28" ht="11.25" customHeight="1" x14ac:dyDescent="0.25">
      <c r="A34" s="112"/>
      <c r="B34" s="112"/>
      <c r="C34" s="112"/>
      <c r="D34" s="23" t="s">
        <v>81</v>
      </c>
      <c r="E34" s="23" t="s">
        <v>25</v>
      </c>
      <c r="F34" s="23" t="s">
        <v>25</v>
      </c>
      <c r="G34" s="22" t="s">
        <v>69</v>
      </c>
      <c r="H34" s="22" t="s">
        <v>63</v>
      </c>
      <c r="I34" s="22">
        <f>'MERCADO TE'!$U$31</f>
        <v>0</v>
      </c>
      <c r="J34" s="15"/>
      <c r="L34" s="20">
        <f>'TR TE'!$L$34*'TR TE'!$L$48</f>
        <v>0</v>
      </c>
      <c r="M34" s="20">
        <f>'TR TE'!$M$34*'TR TE'!$M$48</f>
        <v>0</v>
      </c>
      <c r="N34" s="20">
        <f>'TR TE'!$N$34*'TR TE'!$N$48</f>
        <v>0</v>
      </c>
      <c r="O34" s="20">
        <f>'TR TE'!$O$34*'TR TE'!$O$48</f>
        <v>0</v>
      </c>
      <c r="P34" s="20">
        <f>'TR TE'!$P$34*'TR TE'!$P$48</f>
        <v>0</v>
      </c>
      <c r="Q34" s="20">
        <f>SUM($L$34:$P$34)</f>
        <v>0</v>
      </c>
      <c r="R34" s="20">
        <f>'TR TE'!$R$34*'TR TE'!$R$48</f>
        <v>243.9939131003739</v>
      </c>
      <c r="S34" s="20">
        <f>SUM($R$34:$R$34)</f>
        <v>243.9939131003739</v>
      </c>
      <c r="T34" s="20">
        <f>'TR TE'!$T$34*'TR TE'!$T$48</f>
        <v>0</v>
      </c>
      <c r="U34" s="20">
        <f>'TR TE'!$U$34*'TR TE'!$U$48</f>
        <v>0</v>
      </c>
      <c r="V34" s="20">
        <f>'TR TE'!$V$34*'TR TE'!$V$48</f>
        <v>0</v>
      </c>
      <c r="W34" s="20">
        <f>SUM($T$34:$V$34)</f>
        <v>0</v>
      </c>
      <c r="X34" s="20"/>
      <c r="Y34" s="20">
        <f>SUM($X$34:$X$34)</f>
        <v>0</v>
      </c>
      <c r="Z34" s="20">
        <f>'TR TE'!$Z$34*'TR TE'!$Z$48</f>
        <v>0</v>
      </c>
      <c r="AA34" s="20">
        <f>SUM($Z$34:$Z$34)</f>
        <v>0</v>
      </c>
      <c r="AB34" s="20">
        <f>SUMIF($L$4:$AA$4,"SUBTOTAL",$L$34:$AA$34)</f>
        <v>243.9939131003739</v>
      </c>
    </row>
    <row r="35" spans="1:28" ht="11.25" customHeight="1" x14ac:dyDescent="0.25">
      <c r="A35" s="112" t="s">
        <v>31</v>
      </c>
      <c r="B35" s="112" t="s">
        <v>62</v>
      </c>
      <c r="C35" s="112" t="s">
        <v>25</v>
      </c>
      <c r="D35" s="112" t="s">
        <v>25</v>
      </c>
      <c r="E35" s="112" t="s">
        <v>25</v>
      </c>
      <c r="F35" s="112" t="s">
        <v>25</v>
      </c>
      <c r="G35" s="22" t="s">
        <v>64</v>
      </c>
      <c r="H35" s="22" t="s">
        <v>63</v>
      </c>
      <c r="I35" s="22">
        <f>'MERCADO TE'!$U$32</f>
        <v>0</v>
      </c>
      <c r="J35" s="15"/>
      <c r="L35" s="20">
        <f>'TR TE'!$L$35*'TR TE'!$L$48</f>
        <v>0</v>
      </c>
      <c r="M35" s="20">
        <f>'TR TE'!$M$35*'TR TE'!$M$48</f>
        <v>0</v>
      </c>
      <c r="N35" s="20">
        <f>'TR TE'!$N$35*'TR TE'!$N$48</f>
        <v>0</v>
      </c>
      <c r="O35" s="20">
        <f>'TR TE'!$O$35*'TR TE'!$O$48</f>
        <v>0</v>
      </c>
      <c r="P35" s="20">
        <f>'TR TE'!$P$35*'TR TE'!$P$48</f>
        <v>0</v>
      </c>
      <c r="Q35" s="20">
        <f>SUM($L$35:$P$35)</f>
        <v>0</v>
      </c>
      <c r="R35" s="20">
        <f>'TR TE'!$R$35*'TR TE'!$R$48</f>
        <v>243.9939131003739</v>
      </c>
      <c r="S35" s="20">
        <f>SUM($R$35:$R$35)</f>
        <v>243.9939131003739</v>
      </c>
      <c r="T35" s="20">
        <f>'TR TE'!$T$35*'TR TE'!$T$48</f>
        <v>0</v>
      </c>
      <c r="U35" s="20">
        <f>'TR TE'!$U$35*'TR TE'!$U$48</f>
        <v>0</v>
      </c>
      <c r="V35" s="20">
        <f>'TR TE'!$V$35*'TR TE'!$V$48</f>
        <v>0</v>
      </c>
      <c r="W35" s="20">
        <f>SUM($T$35:$V$35)</f>
        <v>0</v>
      </c>
      <c r="X35" s="20"/>
      <c r="Y35" s="20">
        <f>SUM($X$35:$X$35)</f>
        <v>0</v>
      </c>
      <c r="Z35" s="20">
        <f>'TR TE'!$Z$35*'TR TE'!$Z$48</f>
        <v>0</v>
      </c>
      <c r="AA35" s="20">
        <f>SUM($Z$35:$Z$35)</f>
        <v>0</v>
      </c>
      <c r="AB35" s="20">
        <f>SUMIF($L$4:$AA$4,"SUBTOTAL",$L$35:$AA$35)</f>
        <v>243.9939131003739</v>
      </c>
    </row>
    <row r="36" spans="1:28" ht="11.25" customHeight="1" x14ac:dyDescent="0.25">
      <c r="A36" s="112"/>
      <c r="B36" s="112"/>
      <c r="C36" s="112"/>
      <c r="D36" s="112"/>
      <c r="E36" s="112"/>
      <c r="F36" s="112"/>
      <c r="G36" s="22" t="s">
        <v>75</v>
      </c>
      <c r="H36" s="22" t="s">
        <v>63</v>
      </c>
      <c r="I36" s="22">
        <f>'MERCADO TE'!$U$33</f>
        <v>0</v>
      </c>
      <c r="J36" s="15"/>
      <c r="L36" s="20">
        <f>'TR TE'!$L$36*'TR TE'!$L$48</f>
        <v>0</v>
      </c>
      <c r="M36" s="20">
        <f>'TR TE'!$M$36*'TR TE'!$M$48</f>
        <v>0</v>
      </c>
      <c r="N36" s="20">
        <f>'TR TE'!$N$36*'TR TE'!$N$48</f>
        <v>0</v>
      </c>
      <c r="O36" s="20">
        <f>'TR TE'!$O$36*'TR TE'!$O$48</f>
        <v>0</v>
      </c>
      <c r="P36" s="20">
        <f>'TR TE'!$P$36*'TR TE'!$P$48</f>
        <v>0</v>
      </c>
      <c r="Q36" s="20">
        <f>SUM($L$36:$P$36)</f>
        <v>0</v>
      </c>
      <c r="R36" s="20">
        <f>'TR TE'!$R$36*'TR TE'!$R$48</f>
        <v>243.9939131003739</v>
      </c>
      <c r="S36" s="20">
        <f>SUM($R$36:$R$36)</f>
        <v>243.9939131003739</v>
      </c>
      <c r="T36" s="20">
        <f>'TR TE'!$T$36*'TR TE'!$T$48</f>
        <v>0</v>
      </c>
      <c r="U36" s="20">
        <f>'TR TE'!$U$36*'TR TE'!$U$48</f>
        <v>0</v>
      </c>
      <c r="V36" s="20">
        <f>'TR TE'!$V$36*'TR TE'!$V$48</f>
        <v>0</v>
      </c>
      <c r="W36" s="20">
        <f>SUM($T$36:$V$36)</f>
        <v>0</v>
      </c>
      <c r="X36" s="20"/>
      <c r="Y36" s="20">
        <f>SUM($X$36:$X$36)</f>
        <v>0</v>
      </c>
      <c r="Z36" s="20">
        <f>'TR TE'!$Z$36*'TR TE'!$Z$48</f>
        <v>0</v>
      </c>
      <c r="AA36" s="20">
        <f>SUM($Z$36:$Z$36)</f>
        <v>0</v>
      </c>
      <c r="AB36" s="20">
        <f>SUMIF($L$4:$AA$4,"SUBTOTAL",$L$36:$AA$36)</f>
        <v>243.9939131003739</v>
      </c>
    </row>
    <row r="37" spans="1:28" ht="11.25" customHeight="1" x14ac:dyDescent="0.25">
      <c r="A37" s="112"/>
      <c r="B37" s="112"/>
      <c r="C37" s="112"/>
      <c r="D37" s="112"/>
      <c r="E37" s="112"/>
      <c r="F37" s="112"/>
      <c r="G37" s="22" t="s">
        <v>65</v>
      </c>
      <c r="H37" s="22" t="s">
        <v>63</v>
      </c>
      <c r="I37" s="22">
        <f>'MERCADO TE'!$U$34</f>
        <v>0</v>
      </c>
      <c r="J37" s="15"/>
      <c r="L37" s="20">
        <f>'TR TE'!$L$37*'TR TE'!$L$48</f>
        <v>0</v>
      </c>
      <c r="M37" s="20">
        <f>'TR TE'!$M$37*'TR TE'!$M$48</f>
        <v>0</v>
      </c>
      <c r="N37" s="20">
        <f>'TR TE'!$N$37*'TR TE'!$N$48</f>
        <v>0</v>
      </c>
      <c r="O37" s="20">
        <f>'TR TE'!$O$37*'TR TE'!$O$48</f>
        <v>0</v>
      </c>
      <c r="P37" s="20">
        <f>'TR TE'!$P$37*'TR TE'!$P$48</f>
        <v>0</v>
      </c>
      <c r="Q37" s="20">
        <f>SUM($L$37:$P$37)</f>
        <v>0</v>
      </c>
      <c r="R37" s="20">
        <f>'TR TE'!$R$37*'TR TE'!$R$48</f>
        <v>243.9939131003739</v>
      </c>
      <c r="S37" s="20">
        <f>SUM($R$37:$R$37)</f>
        <v>243.9939131003739</v>
      </c>
      <c r="T37" s="20">
        <f>'TR TE'!$T$37*'TR TE'!$T$48</f>
        <v>0</v>
      </c>
      <c r="U37" s="20">
        <f>'TR TE'!$U$37*'TR TE'!$U$48</f>
        <v>0</v>
      </c>
      <c r="V37" s="20">
        <f>'TR TE'!$V$37*'TR TE'!$V$48</f>
        <v>0</v>
      </c>
      <c r="W37" s="20">
        <f>SUM($T$37:$V$37)</f>
        <v>0</v>
      </c>
      <c r="X37" s="20"/>
      <c r="Y37" s="20">
        <f>SUM($X$37:$X$37)</f>
        <v>0</v>
      </c>
      <c r="Z37" s="20">
        <f>'TR TE'!$Z$37*'TR TE'!$Z$48</f>
        <v>0</v>
      </c>
      <c r="AA37" s="20">
        <f>SUM($Z$37:$Z$37)</f>
        <v>0</v>
      </c>
      <c r="AB37" s="20">
        <f>SUMIF($L$4:$AA$4,"SUBTOTAL",$L$37:$AA$37)</f>
        <v>243.9939131003739</v>
      </c>
    </row>
    <row r="38" spans="1:28" ht="11.25" customHeight="1" x14ac:dyDescent="0.25">
      <c r="A38" s="112"/>
      <c r="B38" s="23" t="s">
        <v>76</v>
      </c>
      <c r="C38" s="23" t="s">
        <v>25</v>
      </c>
      <c r="D38" s="23" t="s">
        <v>25</v>
      </c>
      <c r="E38" s="23" t="s">
        <v>25</v>
      </c>
      <c r="F38" s="23" t="s">
        <v>25</v>
      </c>
      <c r="G38" s="22" t="s">
        <v>69</v>
      </c>
      <c r="H38" s="22" t="s">
        <v>63</v>
      </c>
      <c r="I38" s="22">
        <f>'MERCADO TE'!$U$35</f>
        <v>1376.9240000000002</v>
      </c>
      <c r="J38" s="15"/>
      <c r="L38" s="20">
        <f>'TR TE'!$L$38*'TR TE'!$L$48</f>
        <v>0</v>
      </c>
      <c r="M38" s="20">
        <f>'TR TE'!$M$38*'TR TE'!$M$48</f>
        <v>0</v>
      </c>
      <c r="N38" s="20">
        <f>'TR TE'!$N$38*'TR TE'!$N$48</f>
        <v>0</v>
      </c>
      <c r="O38" s="20">
        <f>'TR TE'!$O$38*'TR TE'!$O$48</f>
        <v>0</v>
      </c>
      <c r="P38" s="20">
        <f>'TR TE'!$P$38*'TR TE'!$P$48</f>
        <v>0</v>
      </c>
      <c r="Q38" s="20">
        <f>SUM($L$38:$P$38)</f>
        <v>0</v>
      </c>
      <c r="R38" s="20">
        <f>'TR TE'!$R$38*'TR TE'!$R$48</f>
        <v>243.9939131003739</v>
      </c>
      <c r="S38" s="20">
        <f>SUM($R$38:$R$38)</f>
        <v>243.9939131003739</v>
      </c>
      <c r="T38" s="20">
        <f>'TR TE'!$T$38*'TR TE'!$T$48</f>
        <v>0</v>
      </c>
      <c r="U38" s="20">
        <f>'TR TE'!$U$38*'TR TE'!$U$48</f>
        <v>0</v>
      </c>
      <c r="V38" s="20">
        <f>'TR TE'!$V$38*'TR TE'!$V$48</f>
        <v>0</v>
      </c>
      <c r="W38" s="20">
        <f>SUM($T$38:$V$38)</f>
        <v>0</v>
      </c>
      <c r="X38" s="20"/>
      <c r="Y38" s="20">
        <f>SUM($X$38:$X$38)</f>
        <v>0</v>
      </c>
      <c r="Z38" s="20">
        <f>'TR TE'!$Z$38*'TR TE'!$Z$48</f>
        <v>0</v>
      </c>
      <c r="AA38" s="20">
        <f>SUM($Z$38:$Z$38)</f>
        <v>0</v>
      </c>
      <c r="AB38" s="20">
        <f>SUMIF($L$4:$AA$4,"SUBTOTAL",$L$38:$AA$38)</f>
        <v>243.9939131003739</v>
      </c>
    </row>
    <row r="39" spans="1:28" ht="11.25" customHeight="1" x14ac:dyDescent="0.25">
      <c r="A39" s="112"/>
      <c r="B39" s="23" t="s">
        <v>78</v>
      </c>
      <c r="C39" s="23" t="s">
        <v>25</v>
      </c>
      <c r="D39" s="23" t="s">
        <v>25</v>
      </c>
      <c r="E39" s="23" t="s">
        <v>25</v>
      </c>
      <c r="F39" s="23" t="s">
        <v>25</v>
      </c>
      <c r="G39" s="22" t="s">
        <v>69</v>
      </c>
      <c r="H39" s="22" t="s">
        <v>63</v>
      </c>
      <c r="I39" s="22">
        <f>'MERCADO TE'!$U$36</f>
        <v>0</v>
      </c>
      <c r="J39" s="15"/>
      <c r="L39" s="20">
        <f>'TR TE'!$L$39*'TR TE'!$L$48</f>
        <v>0</v>
      </c>
      <c r="M39" s="20">
        <f>'TR TE'!$M$39*'TR TE'!$M$48</f>
        <v>0</v>
      </c>
      <c r="N39" s="20">
        <f>'TR TE'!$N$39*'TR TE'!$N$48</f>
        <v>0</v>
      </c>
      <c r="O39" s="20">
        <f>'TR TE'!$O$39*'TR TE'!$O$48</f>
        <v>0</v>
      </c>
      <c r="P39" s="20">
        <f>'TR TE'!$P$39*'TR TE'!$P$48</f>
        <v>0</v>
      </c>
      <c r="Q39" s="20">
        <f>SUM($L$39:$P$39)</f>
        <v>0</v>
      </c>
      <c r="R39" s="20">
        <f>'TR TE'!$R$39*'TR TE'!$R$48</f>
        <v>243.9939131003739</v>
      </c>
      <c r="S39" s="20">
        <f>SUM($R$39:$R$39)</f>
        <v>243.9939131003739</v>
      </c>
      <c r="T39" s="20">
        <f>'TR TE'!$T$39*'TR TE'!$T$48</f>
        <v>0</v>
      </c>
      <c r="U39" s="20">
        <f>'TR TE'!$U$39*'TR TE'!$U$48</f>
        <v>0</v>
      </c>
      <c r="V39" s="20">
        <f>'TR TE'!$V$39*'TR TE'!$V$48</f>
        <v>0</v>
      </c>
      <c r="W39" s="20">
        <f>SUM($T$39:$V$39)</f>
        <v>0</v>
      </c>
      <c r="X39" s="20"/>
      <c r="Y39" s="20">
        <f>SUM($X$39:$X$39)</f>
        <v>0</v>
      </c>
      <c r="Z39" s="20">
        <f>'TR TE'!$Z$39*'TR TE'!$Z$48</f>
        <v>0</v>
      </c>
      <c r="AA39" s="20">
        <f>SUM($Z$39:$Z$39)</f>
        <v>0</v>
      </c>
      <c r="AB39" s="20">
        <f>SUMIF($L$4:$AA$4,"SUBTOTAL",$L$39:$AA$39)</f>
        <v>243.9939131003739</v>
      </c>
    </row>
    <row r="40" spans="1:28" ht="11.25" customHeight="1" x14ac:dyDescent="0.25">
      <c r="A40" s="112" t="s">
        <v>42</v>
      </c>
      <c r="B40" s="112" t="s">
        <v>76</v>
      </c>
      <c r="C40" s="112" t="s">
        <v>43</v>
      </c>
      <c r="D40" s="23" t="s">
        <v>82</v>
      </c>
      <c r="E40" s="23" t="s">
        <v>25</v>
      </c>
      <c r="F40" s="23" t="s">
        <v>25</v>
      </c>
      <c r="G40" s="22" t="s">
        <v>69</v>
      </c>
      <c r="H40" s="22" t="s">
        <v>63</v>
      </c>
      <c r="I40" s="22">
        <f>'MERCADO TE'!$U$37</f>
        <v>0</v>
      </c>
      <c r="J40" s="15"/>
      <c r="L40" s="20">
        <f>'TR TE'!$L$40*'TR TE'!$L$48</f>
        <v>0</v>
      </c>
      <c r="M40" s="20">
        <f>'TR TE'!$M$40*'TR TE'!$M$48</f>
        <v>0</v>
      </c>
      <c r="N40" s="20">
        <f>'TR TE'!$N$40*'TR TE'!$N$48</f>
        <v>0</v>
      </c>
      <c r="O40" s="20">
        <f>'TR TE'!$O$40*'TR TE'!$O$48</f>
        <v>0</v>
      </c>
      <c r="P40" s="20">
        <f>'TR TE'!$P$40*'TR TE'!$P$48</f>
        <v>0</v>
      </c>
      <c r="Q40" s="20">
        <f>SUM($L$40:$P$40)</f>
        <v>0</v>
      </c>
      <c r="R40" s="20">
        <f>'TR TE'!$R$40*'TR TE'!$R$48</f>
        <v>134.19665220520565</v>
      </c>
      <c r="S40" s="20">
        <f>SUM($R$40:$R$40)</f>
        <v>134.19665220520565</v>
      </c>
      <c r="T40" s="20">
        <f>'TR TE'!$T$40*'TR TE'!$T$48</f>
        <v>0</v>
      </c>
      <c r="U40" s="20">
        <f>'TR TE'!$U$40*'TR TE'!$U$48</f>
        <v>0</v>
      </c>
      <c r="V40" s="20">
        <f>'TR TE'!$V$40*'TR TE'!$V$48</f>
        <v>0</v>
      </c>
      <c r="W40" s="20">
        <f>SUM($T$40:$V$40)</f>
        <v>0</v>
      </c>
      <c r="X40" s="20"/>
      <c r="Y40" s="20">
        <f>SUM($X$40:$X$40)</f>
        <v>0</v>
      </c>
      <c r="Z40" s="20">
        <f>'TR TE'!$Z$40*'TR TE'!$Z$48</f>
        <v>0</v>
      </c>
      <c r="AA40" s="20">
        <f>SUM($Z$40:$Z$40)</f>
        <v>0</v>
      </c>
      <c r="AB40" s="20">
        <f>SUMIF($L$4:$AA$4,"SUBTOTAL",$L$40:$AA$40)</f>
        <v>134.19665220520565</v>
      </c>
    </row>
    <row r="41" spans="1:28" ht="11.25" customHeight="1" x14ac:dyDescent="0.25">
      <c r="A41" s="112"/>
      <c r="B41" s="112"/>
      <c r="C41" s="112"/>
      <c r="D41" s="22" t="s">
        <v>44</v>
      </c>
      <c r="E41" s="22" t="s">
        <v>25</v>
      </c>
      <c r="F41" s="22" t="s">
        <v>25</v>
      </c>
      <c r="G41" s="22" t="s">
        <v>69</v>
      </c>
      <c r="H41" s="22" t="s">
        <v>63</v>
      </c>
      <c r="I41" s="22">
        <f>'MERCADO TE'!$U$38</f>
        <v>547.28399999999988</v>
      </c>
      <c r="J41" s="15"/>
      <c r="L41" s="20">
        <f>'TR TE'!$L$41*'TR TE'!$L$48</f>
        <v>0</v>
      </c>
      <c r="M41" s="20">
        <f>'TR TE'!$M$41*'TR TE'!$M$48</f>
        <v>0</v>
      </c>
      <c r="N41" s="20">
        <f>'TR TE'!$N$41*'TR TE'!$N$48</f>
        <v>0</v>
      </c>
      <c r="O41" s="20">
        <f>'TR TE'!$O$41*'TR TE'!$O$48</f>
        <v>0</v>
      </c>
      <c r="P41" s="20">
        <f>'TR TE'!$P$41*'TR TE'!$P$48</f>
        <v>0</v>
      </c>
      <c r="Q41" s="20">
        <f>SUM($L$41:$P$41)</f>
        <v>0</v>
      </c>
      <c r="R41" s="20">
        <f>'TR TE'!$R$41*'TR TE'!$R$48</f>
        <v>146.39634786022432</v>
      </c>
      <c r="S41" s="20">
        <f>SUM($R$41:$R$41)</f>
        <v>146.39634786022432</v>
      </c>
      <c r="T41" s="20">
        <f>'TR TE'!$T$41*'TR TE'!$T$48</f>
        <v>0</v>
      </c>
      <c r="U41" s="20">
        <f>'TR TE'!$U$41*'TR TE'!$U$48</f>
        <v>0</v>
      </c>
      <c r="V41" s="20">
        <f>'TR TE'!$V$41*'TR TE'!$V$48</f>
        <v>0</v>
      </c>
      <c r="W41" s="20">
        <f>SUM($T$41:$V$41)</f>
        <v>0</v>
      </c>
      <c r="X41" s="20"/>
      <c r="Y41" s="20">
        <f>SUM($X$41:$X$41)</f>
        <v>0</v>
      </c>
      <c r="Z41" s="20">
        <f>'TR TE'!$Z$41*'TR TE'!$Z$48</f>
        <v>0</v>
      </c>
      <c r="AA41" s="20">
        <f>SUM($Z$41:$Z$41)</f>
        <v>0</v>
      </c>
      <c r="AB41" s="20">
        <f>SUMIF($L$4:$AA$4,"SUBTOTAL",$L$41:$AA$41)</f>
        <v>146.39634786022432</v>
      </c>
    </row>
    <row r="43" spans="1:28" ht="11.25" customHeight="1" x14ac:dyDescent="0.25">
      <c r="K43" s="25" t="s">
        <v>445</v>
      </c>
      <c r="L43" s="20">
        <f t="shared" ref="L43:AB43" si="0">SUMPRODUCT($I$5:$I$41,L$5:L$41)</f>
        <v>0</v>
      </c>
      <c r="M43" s="20">
        <f t="shared" si="0"/>
        <v>0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0</v>
      </c>
      <c r="R43" s="20">
        <f t="shared" si="0"/>
        <v>13779995.040996937</v>
      </c>
      <c r="S43" s="20">
        <f t="shared" si="0"/>
        <v>13779995.040996937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0</v>
      </c>
      <c r="AA43" s="20">
        <f t="shared" si="0"/>
        <v>0</v>
      </c>
      <c r="AB43" s="20">
        <f t="shared" si="0"/>
        <v>13779995.040996937</v>
      </c>
    </row>
    <row r="44" spans="1:28" ht="11.25" customHeight="1" x14ac:dyDescent="0.25">
      <c r="K44" s="25" t="s">
        <v>364</v>
      </c>
      <c r="L44" s="20">
        <f>CUSTOS!$D$30</f>
        <v>0</v>
      </c>
      <c r="M44" s="20">
        <f>CUSTOS!$D$31</f>
        <v>0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0</v>
      </c>
      <c r="R44" s="20">
        <f>CUSTOS!$D$36</f>
        <v>13779995.040996935</v>
      </c>
      <c r="S44" s="20">
        <f>CUSTOS!$D$37</f>
        <v>13779995.040996935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13779995.040996935</v>
      </c>
    </row>
    <row r="45" spans="1:28" ht="11.25" customHeight="1" x14ac:dyDescent="0.25">
      <c r="K45" s="25" t="s">
        <v>365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112997.05225141399</v>
      </c>
      <c r="S45" s="20">
        <f>CUSTOS!$E$37</f>
        <v>112997.05225141399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-343578.09311346081</v>
      </c>
      <c r="Y45" s="20">
        <f>CUSTOS!$E$43</f>
        <v>-343578.09311346081</v>
      </c>
      <c r="Z45" s="20">
        <f>CUSTOS!$E$44</f>
        <v>0</v>
      </c>
      <c r="AA45" s="20">
        <f>CUSTOS!$E$45</f>
        <v>0</v>
      </c>
      <c r="AB45" s="20">
        <f>CUSTOS!$E$46</f>
        <v>-230581.04086204682</v>
      </c>
    </row>
    <row r="46" spans="1:28" ht="11.25" customHeight="1" x14ac:dyDescent="0.25">
      <c r="K46" s="25" t="s">
        <v>366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25">
      <c r="K47" s="25" t="s">
        <v>446</v>
      </c>
      <c r="L47" s="20">
        <f>'TR TE'!$L$47*L48</f>
        <v>0</v>
      </c>
      <c r="M47" s="20">
        <f>'TR TE'!$M$47*M48</f>
        <v>0</v>
      </c>
      <c r="N47" s="20">
        <f>'TR TE'!$N$47*N48</f>
        <v>0</v>
      </c>
      <c r="O47" s="20">
        <f>'TR TE'!$O$47*O48</f>
        <v>0</v>
      </c>
      <c r="P47" s="20">
        <f>'TR TE'!$P$47*P48</f>
        <v>0</v>
      </c>
      <c r="Q47" s="20"/>
      <c r="R47" s="20">
        <f>'TR TE'!$R$47*R48</f>
        <v>2.0265948909647764</v>
      </c>
      <c r="S47" s="20"/>
      <c r="T47" s="20">
        <f>'TR TE'!$T$47*T48</f>
        <v>0</v>
      </c>
      <c r="U47" s="20">
        <f>'TR TE'!$U$47*U48</f>
        <v>0</v>
      </c>
      <c r="V47" s="20">
        <f>'TR TE'!$V$47*V48</f>
        <v>0</v>
      </c>
      <c r="W47" s="20"/>
      <c r="X47" s="20"/>
      <c r="Y47" s="20"/>
      <c r="Z47" s="20">
        <f>'TR TE'!$Z$47*Z48</f>
        <v>0</v>
      </c>
      <c r="AA47" s="20"/>
      <c r="AB47" s="20"/>
    </row>
    <row r="48" spans="1:28" ht="11.25" customHeight="1" x14ac:dyDescent="0.25">
      <c r="K48" s="25" t="s">
        <v>433</v>
      </c>
      <c r="L48" s="20">
        <f>IF(L44&lt;&gt;0,L45/L44,0)</f>
        <v>0</v>
      </c>
      <c r="M48" s="20">
        <f>IF(M44&lt;&gt;0,M45/M44,0)</f>
        <v>0</v>
      </c>
      <c r="N48" s="20">
        <f>IF(N44&lt;&gt;0,N45/N44,0)</f>
        <v>0</v>
      </c>
      <c r="O48" s="20">
        <f>IF(O44&lt;&gt;0,O45/O44,0)</f>
        <v>0</v>
      </c>
      <c r="P48" s="20">
        <f>IF(P44&lt;&gt;0,P45/P44,0)</f>
        <v>0</v>
      </c>
      <c r="Q48" s="20"/>
      <c r="R48" s="20">
        <f>IF(R44&lt;&gt;0,R45/R44,0)</f>
        <v>8.2000793117294937E-3</v>
      </c>
      <c r="S48" s="20"/>
      <c r="T48" s="20">
        <f>IF(T44&lt;&gt;0,T45/T44,0)</f>
        <v>0</v>
      </c>
      <c r="U48" s="20">
        <f>IF(U44&lt;&gt;0,U45/U44,0)</f>
        <v>0</v>
      </c>
      <c r="V48" s="20">
        <f>IF(V44&lt;&gt;0,V45/V44,0)</f>
        <v>0</v>
      </c>
      <c r="W48" s="20"/>
      <c r="X48" s="20">
        <f>IF(($AB44-0)&lt;&gt;0,X45/($AB44-0),0)</f>
        <v>-2.493310716667748E-2</v>
      </c>
      <c r="Y48" s="20"/>
      <c r="Z48" s="20">
        <f>IF(Z44&lt;&gt;0,Z45/Z44,0)</f>
        <v>0</v>
      </c>
      <c r="AA48" s="20"/>
      <c r="AB48" s="20"/>
    </row>
    <row r="49" spans="11:28" ht="11.25" customHeight="1" x14ac:dyDescent="0.25">
      <c r="K49" s="25" t="s">
        <v>448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586" priority="33" operator="notEqual">
      <formula>$L$44</formula>
    </cfRule>
    <cfRule type="cellIs" dxfId="585" priority="34" operator="equal">
      <formula>$L$44</formula>
    </cfRule>
  </conditionalFormatting>
  <conditionalFormatting sqref="M43">
    <cfRule type="cellIs" dxfId="584" priority="31" operator="notEqual">
      <formula>$M$44</formula>
    </cfRule>
    <cfRule type="cellIs" dxfId="583" priority="32" operator="equal">
      <formula>$M$44</formula>
    </cfRule>
  </conditionalFormatting>
  <conditionalFormatting sqref="N43">
    <cfRule type="cellIs" dxfId="582" priority="29" operator="notEqual">
      <formula>$N$44</formula>
    </cfRule>
    <cfRule type="cellIs" dxfId="581" priority="30" operator="equal">
      <formula>$N$44</formula>
    </cfRule>
  </conditionalFormatting>
  <conditionalFormatting sqref="O43">
    <cfRule type="cellIs" dxfId="580" priority="27" operator="notEqual">
      <formula>$O$44</formula>
    </cfRule>
    <cfRule type="cellIs" dxfId="579" priority="28" operator="equal">
      <formula>$O$44</formula>
    </cfRule>
  </conditionalFormatting>
  <conditionalFormatting sqref="P43">
    <cfRule type="cellIs" dxfId="578" priority="25" operator="notEqual">
      <formula>$P$44</formula>
    </cfRule>
    <cfRule type="cellIs" dxfId="577" priority="26" operator="equal">
      <formula>$P$44</formula>
    </cfRule>
  </conditionalFormatting>
  <conditionalFormatting sqref="Q43">
    <cfRule type="cellIs" dxfId="576" priority="23" operator="notEqual">
      <formula>$Q$44</formula>
    </cfRule>
    <cfRule type="cellIs" dxfId="575" priority="24" operator="equal">
      <formula>$Q$44</formula>
    </cfRule>
  </conditionalFormatting>
  <conditionalFormatting sqref="R43">
    <cfRule type="cellIs" dxfId="574" priority="21" operator="notEqual">
      <formula>$R$44</formula>
    </cfRule>
    <cfRule type="cellIs" dxfId="573" priority="22" operator="equal">
      <formula>$R$44</formula>
    </cfRule>
  </conditionalFormatting>
  <conditionalFormatting sqref="S43">
    <cfRule type="cellIs" dxfId="572" priority="19" operator="notEqual">
      <formula>$S$44</formula>
    </cfRule>
    <cfRule type="cellIs" dxfId="571" priority="20" operator="equal">
      <formula>$S$44</formula>
    </cfRule>
  </conditionalFormatting>
  <conditionalFormatting sqref="T43">
    <cfRule type="cellIs" dxfId="570" priority="17" operator="notEqual">
      <formula>$T$44</formula>
    </cfRule>
    <cfRule type="cellIs" dxfId="569" priority="18" operator="equal">
      <formula>$T$44</formula>
    </cfRule>
  </conditionalFormatting>
  <conditionalFormatting sqref="U43">
    <cfRule type="cellIs" dxfId="568" priority="15" operator="notEqual">
      <formula>$U$44</formula>
    </cfRule>
    <cfRule type="cellIs" dxfId="567" priority="16" operator="equal">
      <formula>$U$44</formula>
    </cfRule>
  </conditionalFormatting>
  <conditionalFormatting sqref="V43">
    <cfRule type="cellIs" dxfId="566" priority="13" operator="notEqual">
      <formula>$V$44</formula>
    </cfRule>
    <cfRule type="cellIs" dxfId="565" priority="14" operator="equal">
      <formula>$V$44</formula>
    </cfRule>
  </conditionalFormatting>
  <conditionalFormatting sqref="W43">
    <cfRule type="cellIs" dxfId="564" priority="11" operator="notEqual">
      <formula>$W$44</formula>
    </cfRule>
    <cfRule type="cellIs" dxfId="563" priority="12" operator="equal">
      <formula>$W$44</formula>
    </cfRule>
  </conditionalFormatting>
  <conditionalFormatting sqref="X43">
    <cfRule type="cellIs" dxfId="562" priority="9" operator="notEqual">
      <formula>$X$44</formula>
    </cfRule>
    <cfRule type="cellIs" dxfId="561" priority="10" operator="equal">
      <formula>$X$44</formula>
    </cfRule>
  </conditionalFormatting>
  <conditionalFormatting sqref="Y43">
    <cfRule type="cellIs" dxfId="560" priority="7" operator="notEqual">
      <formula>$Y$44</formula>
    </cfRule>
    <cfRule type="cellIs" dxfId="559" priority="8" operator="equal">
      <formula>$Y$44</formula>
    </cfRule>
  </conditionalFormatting>
  <conditionalFormatting sqref="Z43">
    <cfRule type="cellIs" dxfId="558" priority="5" operator="notEqual">
      <formula>$Z$44</formula>
    </cfRule>
    <cfRule type="cellIs" dxfId="557" priority="6" operator="equal">
      <formula>$Z$44</formula>
    </cfRule>
  </conditionalFormatting>
  <conditionalFormatting sqref="AA43">
    <cfRule type="cellIs" dxfId="556" priority="3" operator="notEqual">
      <formula>$AA$44</formula>
    </cfRule>
    <cfRule type="cellIs" dxfId="555" priority="4" operator="equal">
      <formula>$AA$44</formula>
    </cfRule>
  </conditionalFormatting>
  <conditionalFormatting sqref="AB43">
    <cfRule type="cellIs" dxfId="554" priority="1" operator="notEqual">
      <formula>$AB$44</formula>
    </cfRule>
    <cfRule type="cellIs" dxfId="553" priority="2" operator="equal">
      <formula>$AB$44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2435-6761-49E5-8B86-31132864F5BA}">
  <dimension ref="A1:AB49"/>
  <sheetViews>
    <sheetView showGridLines="0" topLeftCell="R25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.85546875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.85546875" style="9" bestFit="1" customWidth="1"/>
    <col min="29" max="16384" width="9.140625" style="9"/>
  </cols>
  <sheetData>
    <row r="1" spans="1:28" ht="11.25" customHeight="1" x14ac:dyDescent="0.25">
      <c r="A1" s="113" t="s">
        <v>53</v>
      </c>
      <c r="B1" s="113" t="s">
        <v>54</v>
      </c>
      <c r="C1" s="113" t="s">
        <v>55</v>
      </c>
      <c r="D1" s="113" t="s">
        <v>56</v>
      </c>
      <c r="E1" s="113" t="s">
        <v>57</v>
      </c>
      <c r="F1" s="113" t="s">
        <v>15</v>
      </c>
      <c r="G1" s="113" t="s">
        <v>59</v>
      </c>
      <c r="H1" s="113" t="s">
        <v>60</v>
      </c>
      <c r="I1" s="113" t="s">
        <v>423</v>
      </c>
      <c r="J1" s="98"/>
      <c r="L1" s="114" t="s">
        <v>450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8"/>
      <c r="L2" s="114" t="s">
        <v>350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8"/>
      <c r="L3" s="114" t="s">
        <v>323</v>
      </c>
      <c r="M3" s="114"/>
      <c r="N3" s="114"/>
      <c r="O3" s="114"/>
      <c r="P3" s="114"/>
      <c r="Q3" s="114"/>
      <c r="R3" s="114" t="s">
        <v>354</v>
      </c>
      <c r="S3" s="114"/>
      <c r="T3" s="114" t="s">
        <v>332</v>
      </c>
      <c r="U3" s="114"/>
      <c r="V3" s="114"/>
      <c r="W3" s="114"/>
      <c r="X3" s="114" t="s">
        <v>342</v>
      </c>
      <c r="Y3" s="114"/>
      <c r="Z3" s="114" t="s">
        <v>345</v>
      </c>
      <c r="AA3" s="114"/>
      <c r="AB3" s="114" t="s">
        <v>331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8"/>
      <c r="L4" s="24" t="s">
        <v>325</v>
      </c>
      <c r="M4" s="24" t="s">
        <v>351</v>
      </c>
      <c r="N4" s="24" t="s">
        <v>352</v>
      </c>
      <c r="O4" s="24" t="s">
        <v>411</v>
      </c>
      <c r="P4" s="24" t="s">
        <v>353</v>
      </c>
      <c r="Q4" s="24" t="s">
        <v>331</v>
      </c>
      <c r="R4" s="24" t="s">
        <v>355</v>
      </c>
      <c r="S4" s="24" t="s">
        <v>331</v>
      </c>
      <c r="T4" s="24" t="s">
        <v>356</v>
      </c>
      <c r="U4" s="24" t="s">
        <v>357</v>
      </c>
      <c r="V4" s="24" t="s">
        <v>358</v>
      </c>
      <c r="W4" s="24" t="s">
        <v>331</v>
      </c>
      <c r="X4" s="24" t="s">
        <v>343</v>
      </c>
      <c r="Y4" s="24" t="s">
        <v>331</v>
      </c>
      <c r="Z4" s="24" t="s">
        <v>359</v>
      </c>
      <c r="AA4" s="24" t="s">
        <v>331</v>
      </c>
      <c r="AB4" s="115"/>
    </row>
    <row r="5" spans="1:28" ht="11.25" customHeight="1" x14ac:dyDescent="0.25">
      <c r="A5" s="112" t="s">
        <v>33</v>
      </c>
      <c r="B5" s="112" t="s">
        <v>62</v>
      </c>
      <c r="C5" s="112" t="s">
        <v>25</v>
      </c>
      <c r="D5" s="112" t="s">
        <v>25</v>
      </c>
      <c r="E5" s="112" t="s">
        <v>25</v>
      </c>
      <c r="F5" s="112" t="s">
        <v>25</v>
      </c>
      <c r="G5" s="22" t="s">
        <v>64</v>
      </c>
      <c r="H5" s="22" t="s">
        <v>63</v>
      </c>
      <c r="I5" s="22">
        <f>'MERCADO TE'!$U$2</f>
        <v>4424.8969999999999</v>
      </c>
      <c r="J5" s="15"/>
      <c r="L5" s="20">
        <f>'TE BE'!$L$5*'TE BE'!$L$48</f>
        <v>0</v>
      </c>
      <c r="M5" s="20">
        <f>'TE BE'!$M$5*'TE BE'!$M$48</f>
        <v>0</v>
      </c>
      <c r="N5" s="20">
        <f>'TE BE'!$N$5*'TE BE'!$N$48</f>
        <v>0</v>
      </c>
      <c r="O5" s="20">
        <f>'TE BE'!$O$5*'TE BE'!$O$48</f>
        <v>0</v>
      </c>
      <c r="P5" s="20">
        <f>'TE BE'!$P$5*'TE BE'!$P$48</f>
        <v>0</v>
      </c>
      <c r="Q5" s="20">
        <f>SUM($L$5:$P$5)</f>
        <v>0</v>
      </c>
      <c r="R5" s="20">
        <f>'TE BE'!$R$5*'TE BE'!$R$48</f>
        <v>2.0007694390022999</v>
      </c>
      <c r="S5" s="20">
        <f>SUM($R$5:$R$5)</f>
        <v>2.0007694390022999</v>
      </c>
      <c r="T5" s="20">
        <f>'TE BE'!$T$5*'TE BE'!$T$48</f>
        <v>0</v>
      </c>
      <c r="U5" s="20">
        <f>'TE BE'!$U$5*'TE BE'!$U$48</f>
        <v>0</v>
      </c>
      <c r="V5" s="20">
        <f>'TE BE'!$V$5*'TE BE'!$V$48</f>
        <v>0</v>
      </c>
      <c r="W5" s="20">
        <f>SUM($T$5:$V$5)</f>
        <v>0</v>
      </c>
      <c r="X5" s="20">
        <f>'TE BE'!$AB$5*'TE BE'!$X$48</f>
        <v>-6.0835263833486151</v>
      </c>
      <c r="Y5" s="20">
        <f>SUM($X$5:$X$5)</f>
        <v>-6.0835263833486151</v>
      </c>
      <c r="Z5" s="20">
        <f>'TE BE'!$Z$5*'TE BE'!$Z$48</f>
        <v>0</v>
      </c>
      <c r="AA5" s="20">
        <f>SUM($Z$5:$Z$5)</f>
        <v>0</v>
      </c>
      <c r="AB5" s="20">
        <f>SUMIF($L$4:$AA$4,"SUBTOTAL",$L$5:$AA$5)</f>
        <v>-4.0827569443463148</v>
      </c>
    </row>
    <row r="6" spans="1:28" ht="11.25" customHeight="1" x14ac:dyDescent="0.25">
      <c r="A6" s="112"/>
      <c r="B6" s="112"/>
      <c r="C6" s="112"/>
      <c r="D6" s="112"/>
      <c r="E6" s="112"/>
      <c r="F6" s="112"/>
      <c r="G6" s="22" t="s">
        <v>65</v>
      </c>
      <c r="H6" s="22" t="s">
        <v>63</v>
      </c>
      <c r="I6" s="22">
        <f>'MERCADO TE'!$U$3</f>
        <v>46701.057000000001</v>
      </c>
      <c r="J6" s="15"/>
      <c r="L6" s="20">
        <f>'TE BE'!$L$6*'TE BE'!$L$48</f>
        <v>0</v>
      </c>
      <c r="M6" s="20">
        <f>'TE BE'!$M$6*'TE BE'!$M$48</f>
        <v>0</v>
      </c>
      <c r="N6" s="20">
        <f>'TE BE'!$N$6*'TE BE'!$N$48</f>
        <v>0</v>
      </c>
      <c r="O6" s="20">
        <f>'TE BE'!$O$6*'TE BE'!$O$48</f>
        <v>0</v>
      </c>
      <c r="P6" s="20">
        <f>'TE BE'!$P$6*'TE BE'!$P$48</f>
        <v>0</v>
      </c>
      <c r="Q6" s="20">
        <f>SUM($L$6:$P$6)</f>
        <v>0</v>
      </c>
      <c r="R6" s="20">
        <f>'TE BE'!$R$6*'TE BE'!$R$48</f>
        <v>2.0007694390022999</v>
      </c>
      <c r="S6" s="20">
        <f>SUM($R$6:$R$6)</f>
        <v>2.0007694390022999</v>
      </c>
      <c r="T6" s="20">
        <f>'TE BE'!$T$6*'TE BE'!$T$48</f>
        <v>0</v>
      </c>
      <c r="U6" s="20">
        <f>'TE BE'!$U$6*'TE BE'!$U$48</f>
        <v>0</v>
      </c>
      <c r="V6" s="20">
        <f>'TE BE'!$V$6*'TE BE'!$V$48</f>
        <v>0</v>
      </c>
      <c r="W6" s="20">
        <f>SUM($T$6:$V$6)</f>
        <v>0</v>
      </c>
      <c r="X6" s="20">
        <f>'TE BE'!$AB$6*'TE BE'!$X$48</f>
        <v>-6.0835263833486151</v>
      </c>
      <c r="Y6" s="20">
        <f>SUM($X$6:$X$6)</f>
        <v>-6.0835263833486151</v>
      </c>
      <c r="Z6" s="20">
        <f>'TE BE'!$Z$6*'TE BE'!$Z$48</f>
        <v>0</v>
      </c>
      <c r="AA6" s="20">
        <f>SUM($Z$6:$Z$6)</f>
        <v>0</v>
      </c>
      <c r="AB6" s="20">
        <f>SUMIF($L$4:$AA$4,"SUBTOTAL",$L$6:$AA$6)</f>
        <v>-4.0827569443463148</v>
      </c>
    </row>
    <row r="7" spans="1:28" ht="11.25" customHeight="1" x14ac:dyDescent="0.25">
      <c r="A7" s="112" t="s">
        <v>22</v>
      </c>
      <c r="B7" s="112" t="s">
        <v>62</v>
      </c>
      <c r="C7" s="112" t="s">
        <v>24</v>
      </c>
      <c r="D7" s="112" t="s">
        <v>24</v>
      </c>
      <c r="E7" s="112" t="s">
        <v>25</v>
      </c>
      <c r="F7" s="112" t="s">
        <v>25</v>
      </c>
      <c r="G7" s="22" t="s">
        <v>64</v>
      </c>
      <c r="H7" s="22" t="s">
        <v>63</v>
      </c>
      <c r="I7" s="22">
        <f>'MERCADO TE'!$U$4</f>
        <v>0</v>
      </c>
      <c r="J7" s="15"/>
      <c r="L7" s="20">
        <f>'TE BE'!$L$7*'TE BE'!$L$48</f>
        <v>0</v>
      </c>
      <c r="M7" s="20">
        <f>'TE BE'!$M$7*'TE BE'!$M$48</f>
        <v>0</v>
      </c>
      <c r="N7" s="20">
        <f>'TE BE'!$N$7*'TE BE'!$N$48</f>
        <v>0</v>
      </c>
      <c r="O7" s="20">
        <f>'TE BE'!$O$7*'TE BE'!$O$48</f>
        <v>0</v>
      </c>
      <c r="P7" s="20">
        <f>'TE BE'!$P$7*'TE BE'!$P$48</f>
        <v>0</v>
      </c>
      <c r="Q7" s="20">
        <f>SUM($L$7:$P$7)</f>
        <v>0</v>
      </c>
      <c r="R7" s="20">
        <f>'TE BE'!$R$7*'TE BE'!$R$48</f>
        <v>2.0007694390022999</v>
      </c>
      <c r="S7" s="20">
        <f>SUM($R$7:$R$7)</f>
        <v>2.0007694390022999</v>
      </c>
      <c r="T7" s="20">
        <f>'TE BE'!$T$7*'TE BE'!$T$48</f>
        <v>0</v>
      </c>
      <c r="U7" s="20">
        <f>'TE BE'!$U$7*'TE BE'!$U$48</f>
        <v>0</v>
      </c>
      <c r="V7" s="20">
        <f>'TE BE'!$V$7*'TE BE'!$V$48</f>
        <v>0</v>
      </c>
      <c r="W7" s="20">
        <f>SUM($T$7:$V$7)</f>
        <v>0</v>
      </c>
      <c r="X7" s="20">
        <f>'TE BE'!$AB$7*'TE BE'!$X$48</f>
        <v>-6.0835263833486151</v>
      </c>
      <c r="Y7" s="20">
        <f>SUM($X$7:$X$7)</f>
        <v>-6.0835263833486151</v>
      </c>
      <c r="Z7" s="20">
        <f>'TE BE'!$Z$7*'TE BE'!$Z$48</f>
        <v>0</v>
      </c>
      <c r="AA7" s="20">
        <f>SUM($Z$7:$Z$7)</f>
        <v>0</v>
      </c>
      <c r="AB7" s="20">
        <f>SUMIF($L$4:$AA$4,"SUBTOTAL",$L$7:$AA$7)</f>
        <v>-4.0827569443463148</v>
      </c>
    </row>
    <row r="8" spans="1:28" ht="11.25" customHeight="1" x14ac:dyDescent="0.25">
      <c r="A8" s="112"/>
      <c r="B8" s="112"/>
      <c r="C8" s="112"/>
      <c r="D8" s="112"/>
      <c r="E8" s="112"/>
      <c r="F8" s="112"/>
      <c r="G8" s="22" t="s">
        <v>75</v>
      </c>
      <c r="H8" s="22" t="s">
        <v>63</v>
      </c>
      <c r="I8" s="22">
        <f>'MERCADO TE'!$U$5</f>
        <v>0</v>
      </c>
      <c r="J8" s="15"/>
      <c r="L8" s="20">
        <f>'TE BE'!$L$8*'TE BE'!$L$48</f>
        <v>0</v>
      </c>
      <c r="M8" s="20">
        <f>'TE BE'!$M$8*'TE BE'!$M$48</f>
        <v>0</v>
      </c>
      <c r="N8" s="20">
        <f>'TE BE'!$N$8*'TE BE'!$N$48</f>
        <v>0</v>
      </c>
      <c r="O8" s="20">
        <f>'TE BE'!$O$8*'TE BE'!$O$48</f>
        <v>0</v>
      </c>
      <c r="P8" s="20">
        <f>'TE BE'!$P$8*'TE BE'!$P$48</f>
        <v>0</v>
      </c>
      <c r="Q8" s="20">
        <f>SUM($L$8:$P$8)</f>
        <v>0</v>
      </c>
      <c r="R8" s="20">
        <f>'TE BE'!$R$8*'TE BE'!$R$48</f>
        <v>2.0007694390022999</v>
      </c>
      <c r="S8" s="20">
        <f>SUM($R$8:$R$8)</f>
        <v>2.0007694390022999</v>
      </c>
      <c r="T8" s="20">
        <f>'TE BE'!$T$8*'TE BE'!$T$48</f>
        <v>0</v>
      </c>
      <c r="U8" s="20">
        <f>'TE BE'!$U$8*'TE BE'!$U$48</f>
        <v>0</v>
      </c>
      <c r="V8" s="20">
        <f>'TE BE'!$V$8*'TE BE'!$V$48</f>
        <v>0</v>
      </c>
      <c r="W8" s="20">
        <f>SUM($T$8:$V$8)</f>
        <v>0</v>
      </c>
      <c r="X8" s="20">
        <f>'TE BE'!$AB$8*'TE BE'!$X$48</f>
        <v>-6.0835263833486151</v>
      </c>
      <c r="Y8" s="20">
        <f>SUM($X$8:$X$8)</f>
        <v>-6.0835263833486151</v>
      </c>
      <c r="Z8" s="20">
        <f>'TE BE'!$Z$8*'TE BE'!$Z$48</f>
        <v>0</v>
      </c>
      <c r="AA8" s="20">
        <f>SUM($Z$8:$Z$8)</f>
        <v>0</v>
      </c>
      <c r="AB8" s="20">
        <f>SUMIF($L$4:$AA$4,"SUBTOTAL",$L$8:$AA$8)</f>
        <v>-4.0827569443463148</v>
      </c>
    </row>
    <row r="9" spans="1:28" ht="11.25" customHeight="1" x14ac:dyDescent="0.25">
      <c r="A9" s="112"/>
      <c r="B9" s="112"/>
      <c r="C9" s="112"/>
      <c r="D9" s="112"/>
      <c r="E9" s="112"/>
      <c r="F9" s="112"/>
      <c r="G9" s="22" t="s">
        <v>65</v>
      </c>
      <c r="H9" s="22" t="s">
        <v>63</v>
      </c>
      <c r="I9" s="22">
        <f>'MERCADO TE'!$U$6</f>
        <v>0</v>
      </c>
      <c r="J9" s="15"/>
      <c r="L9" s="20">
        <f>'TE BE'!$L$9*'TE BE'!$L$48</f>
        <v>0</v>
      </c>
      <c r="M9" s="20">
        <f>'TE BE'!$M$9*'TE BE'!$M$48</f>
        <v>0</v>
      </c>
      <c r="N9" s="20">
        <f>'TE BE'!$N$9*'TE BE'!$N$48</f>
        <v>0</v>
      </c>
      <c r="O9" s="20">
        <f>'TE BE'!$O$9*'TE BE'!$O$48</f>
        <v>0</v>
      </c>
      <c r="P9" s="20">
        <f>'TE BE'!$P$9*'TE BE'!$P$48</f>
        <v>0</v>
      </c>
      <c r="Q9" s="20">
        <f>SUM($L$9:$P$9)</f>
        <v>0</v>
      </c>
      <c r="R9" s="20">
        <f>'TE BE'!$R$9*'TE BE'!$R$48</f>
        <v>2.0007694390022999</v>
      </c>
      <c r="S9" s="20">
        <f>SUM($R$9:$R$9)</f>
        <v>2.0007694390022999</v>
      </c>
      <c r="T9" s="20">
        <f>'TE BE'!$T$9*'TE BE'!$T$48</f>
        <v>0</v>
      </c>
      <c r="U9" s="20">
        <f>'TE BE'!$U$9*'TE BE'!$U$48</f>
        <v>0</v>
      </c>
      <c r="V9" s="20">
        <f>'TE BE'!$V$9*'TE BE'!$V$48</f>
        <v>0</v>
      </c>
      <c r="W9" s="20">
        <f>SUM($T$9:$V$9)</f>
        <v>0</v>
      </c>
      <c r="X9" s="20">
        <f>'TE BE'!$AB$9*'TE BE'!$X$48</f>
        <v>-6.0835263833486151</v>
      </c>
      <c r="Y9" s="20">
        <f>SUM($X$9:$X$9)</f>
        <v>-6.0835263833486151</v>
      </c>
      <c r="Z9" s="20">
        <f>'TE BE'!$Z$9*'TE BE'!$Z$48</f>
        <v>0</v>
      </c>
      <c r="AA9" s="20">
        <f>SUM($Z$9:$Z$9)</f>
        <v>0</v>
      </c>
      <c r="AB9" s="20">
        <f>SUMIF($L$4:$AA$4,"SUBTOTAL",$L$9:$AA$9)</f>
        <v>-4.0827569443463148</v>
      </c>
    </row>
    <row r="10" spans="1:28" ht="11.25" customHeight="1" x14ac:dyDescent="0.25">
      <c r="A10" s="112"/>
      <c r="B10" s="112" t="s">
        <v>76</v>
      </c>
      <c r="C10" s="112" t="s">
        <v>24</v>
      </c>
      <c r="D10" s="23" t="s">
        <v>24</v>
      </c>
      <c r="E10" s="23" t="s">
        <v>25</v>
      </c>
      <c r="F10" s="23" t="s">
        <v>25</v>
      </c>
      <c r="G10" s="22" t="s">
        <v>69</v>
      </c>
      <c r="H10" s="22" t="s">
        <v>63</v>
      </c>
      <c r="I10" s="22">
        <f>'MERCADO TE'!$U$7</f>
        <v>2968.7139999999999</v>
      </c>
      <c r="J10" s="15"/>
      <c r="L10" s="20">
        <f>'TE BE'!$L$10*'TE BE'!$L$48</f>
        <v>0</v>
      </c>
      <c r="M10" s="20">
        <f>'TE BE'!$M$10*'TE BE'!$M$48</f>
        <v>0</v>
      </c>
      <c r="N10" s="20">
        <f>'TE BE'!$N$10*'TE BE'!$N$48</f>
        <v>0</v>
      </c>
      <c r="O10" s="20">
        <f>'TE BE'!$O$10*'TE BE'!$O$48</f>
        <v>0</v>
      </c>
      <c r="P10" s="20">
        <f>'TE BE'!$P$10*'TE BE'!$P$48</f>
        <v>0</v>
      </c>
      <c r="Q10" s="20">
        <f>SUM($L$10:$P$10)</f>
        <v>0</v>
      </c>
      <c r="R10" s="20">
        <f>'TE BE'!$R$10*'TE BE'!$R$48</f>
        <v>2.0007694390022999</v>
      </c>
      <c r="S10" s="20">
        <f>SUM($R$10:$R$10)</f>
        <v>2.0007694390022999</v>
      </c>
      <c r="T10" s="20">
        <f>'TE BE'!$T$10*'TE BE'!$T$48</f>
        <v>0</v>
      </c>
      <c r="U10" s="20">
        <f>'TE BE'!$U$10*'TE BE'!$U$48</f>
        <v>0</v>
      </c>
      <c r="V10" s="20">
        <f>'TE BE'!$V$10*'TE BE'!$V$48</f>
        <v>0</v>
      </c>
      <c r="W10" s="20">
        <f>SUM($T$10:$V$10)</f>
        <v>0</v>
      </c>
      <c r="X10" s="20">
        <f>'TE BE'!$AB$10*'TE BE'!$X$48</f>
        <v>-6.0835263833486151</v>
      </c>
      <c r="Y10" s="20">
        <f>SUM($X$10:$X$10)</f>
        <v>-6.0835263833486151</v>
      </c>
      <c r="Z10" s="20">
        <f>'TE BE'!$Z$10*'TE BE'!$Z$48</f>
        <v>0</v>
      </c>
      <c r="AA10" s="20">
        <f>SUM($Z$10:$Z$10)</f>
        <v>0</v>
      </c>
      <c r="AB10" s="20">
        <f>SUMIF($L$4:$AA$4,"SUBTOTAL",$L$10:$AA$10)</f>
        <v>-4.0827569443463148</v>
      </c>
    </row>
    <row r="11" spans="1:28" ht="11.25" customHeight="1" x14ac:dyDescent="0.25">
      <c r="A11" s="112"/>
      <c r="B11" s="112"/>
      <c r="C11" s="112"/>
      <c r="D11" s="23" t="s">
        <v>27</v>
      </c>
      <c r="E11" s="23" t="s">
        <v>25</v>
      </c>
      <c r="F11" s="23" t="s">
        <v>25</v>
      </c>
      <c r="G11" s="22" t="s">
        <v>69</v>
      </c>
      <c r="H11" s="22" t="s">
        <v>63</v>
      </c>
      <c r="I11" s="22">
        <f>'MERCADO TE'!$U$8</f>
        <v>3.0050000000000003</v>
      </c>
      <c r="J11" s="15"/>
      <c r="L11" s="20">
        <f>'TE BE'!$L$11*'TE BE'!$L$48</f>
        <v>0</v>
      </c>
      <c r="M11" s="20">
        <f>'TE BE'!$M$11*'TE BE'!$M$48</f>
        <v>0</v>
      </c>
      <c r="N11" s="20">
        <f>'TE BE'!$N$11*'TE BE'!$N$48</f>
        <v>0</v>
      </c>
      <c r="O11" s="20">
        <f>'TE BE'!$O$11*'TE BE'!$O$48</f>
        <v>0</v>
      </c>
      <c r="P11" s="20">
        <f>'TE BE'!$P$11*'TE BE'!$P$48</f>
        <v>0</v>
      </c>
      <c r="Q11" s="20">
        <f>SUM($L$11:$P$11)</f>
        <v>0</v>
      </c>
      <c r="R11" s="20">
        <f>'TE BE'!$R$11*'TE BE'!$R$48</f>
        <v>2.0007694390022999</v>
      </c>
      <c r="S11" s="20">
        <f>SUM($R$11:$R$11)</f>
        <v>2.0007694390022999</v>
      </c>
      <c r="T11" s="20">
        <f>'TE BE'!$T$11*'TE BE'!$T$48</f>
        <v>0</v>
      </c>
      <c r="U11" s="20">
        <f>'TE BE'!$U$11*'TE BE'!$U$48</f>
        <v>0</v>
      </c>
      <c r="V11" s="20">
        <f>'TE BE'!$V$11*'TE BE'!$V$48</f>
        <v>0</v>
      </c>
      <c r="W11" s="20">
        <f>SUM($T$11:$V$11)</f>
        <v>0</v>
      </c>
      <c r="X11" s="20">
        <f>'TE BE'!$AB$11*'TE BE'!$X$48</f>
        <v>-6.0835263833486151</v>
      </c>
      <c r="Y11" s="20">
        <f>SUM($X$11:$X$11)</f>
        <v>-6.0835263833486151</v>
      </c>
      <c r="Z11" s="20">
        <f>'TE BE'!$Z$11*'TE BE'!$Z$48</f>
        <v>0</v>
      </c>
      <c r="AA11" s="20">
        <f>SUM($Z$11:$Z$11)</f>
        <v>0</v>
      </c>
      <c r="AB11" s="20">
        <f>SUMIF($L$4:$AA$4,"SUBTOTAL",$L$11:$AA$11)</f>
        <v>-4.0827569443463148</v>
      </c>
    </row>
    <row r="12" spans="1:28" ht="11.25" customHeight="1" x14ac:dyDescent="0.25">
      <c r="A12" s="112"/>
      <c r="B12" s="112"/>
      <c r="C12" s="112"/>
      <c r="D12" s="23" t="s">
        <v>28</v>
      </c>
      <c r="E12" s="23" t="s">
        <v>25</v>
      </c>
      <c r="F12" s="23" t="s">
        <v>25</v>
      </c>
      <c r="G12" s="22" t="s">
        <v>69</v>
      </c>
      <c r="H12" s="22" t="s">
        <v>63</v>
      </c>
      <c r="I12" s="22">
        <f>'MERCADO TE'!$U$9</f>
        <v>4.8120000000000003</v>
      </c>
      <c r="J12" s="15"/>
      <c r="L12" s="20">
        <f>'TE BE'!$L$12*'TE BE'!$L$48</f>
        <v>0</v>
      </c>
      <c r="M12" s="20">
        <f>'TE BE'!$M$12*'TE BE'!$M$48</f>
        <v>0</v>
      </c>
      <c r="N12" s="20">
        <f>'TE BE'!$N$12*'TE BE'!$N$48</f>
        <v>0</v>
      </c>
      <c r="O12" s="20">
        <f>'TE BE'!$O$12*'TE BE'!$O$48</f>
        <v>0</v>
      </c>
      <c r="P12" s="20">
        <f>'TE BE'!$P$12*'TE BE'!$P$48</f>
        <v>0</v>
      </c>
      <c r="Q12" s="20">
        <f>SUM($L$12:$P$12)</f>
        <v>0</v>
      </c>
      <c r="R12" s="20">
        <f>'TE BE'!$R$12*'TE BE'!$R$48</f>
        <v>2.0007694390022999</v>
      </c>
      <c r="S12" s="20">
        <f>SUM($R$12:$R$12)</f>
        <v>2.0007694390022999</v>
      </c>
      <c r="T12" s="20">
        <f>'TE BE'!$T$12*'TE BE'!$T$48</f>
        <v>0</v>
      </c>
      <c r="U12" s="20">
        <f>'TE BE'!$U$12*'TE BE'!$U$48</f>
        <v>0</v>
      </c>
      <c r="V12" s="20">
        <f>'TE BE'!$V$12*'TE BE'!$V$48</f>
        <v>0</v>
      </c>
      <c r="W12" s="20">
        <f>SUM($T$12:$V$12)</f>
        <v>0</v>
      </c>
      <c r="X12" s="20">
        <f>'TE BE'!$AB$12*'TE BE'!$X$48</f>
        <v>-6.0835263833486151</v>
      </c>
      <c r="Y12" s="20">
        <f>SUM($X$12:$X$12)</f>
        <v>-6.0835263833486151</v>
      </c>
      <c r="Z12" s="20">
        <f>'TE BE'!$Z$12*'TE BE'!$Z$48</f>
        <v>0</v>
      </c>
      <c r="AA12" s="20">
        <f>SUM($Z$12:$Z$12)</f>
        <v>0</v>
      </c>
      <c r="AB12" s="20">
        <f>SUMIF($L$4:$AA$4,"SUBTOTAL",$L$12:$AA$12)</f>
        <v>-4.0827569443463148</v>
      </c>
    </row>
    <row r="13" spans="1:28" ht="11.25" customHeight="1" x14ac:dyDescent="0.25">
      <c r="A13" s="112"/>
      <c r="B13" s="112"/>
      <c r="C13" s="112"/>
      <c r="D13" s="23" t="s">
        <v>29</v>
      </c>
      <c r="E13" s="23" t="s">
        <v>25</v>
      </c>
      <c r="F13" s="23" t="s">
        <v>25</v>
      </c>
      <c r="G13" s="22" t="s">
        <v>69</v>
      </c>
      <c r="H13" s="22" t="s">
        <v>63</v>
      </c>
      <c r="I13" s="22">
        <f>'MERCADO TE'!$U$10</f>
        <v>0.12</v>
      </c>
      <c r="J13" s="15"/>
      <c r="L13" s="20">
        <f>'TE BE'!$L$13*'TE BE'!$L$48</f>
        <v>0</v>
      </c>
      <c r="M13" s="20">
        <f>'TE BE'!$M$13*'TE BE'!$M$48</f>
        <v>0</v>
      </c>
      <c r="N13" s="20">
        <f>'TE BE'!$N$13*'TE BE'!$N$48</f>
        <v>0</v>
      </c>
      <c r="O13" s="20">
        <f>'TE BE'!$O$13*'TE BE'!$O$48</f>
        <v>0</v>
      </c>
      <c r="P13" s="20">
        <f>'TE BE'!$P$13*'TE BE'!$P$48</f>
        <v>0</v>
      </c>
      <c r="Q13" s="20">
        <f>SUM($L$13:$P$13)</f>
        <v>0</v>
      </c>
      <c r="R13" s="20">
        <f>'TE BE'!$R$13*'TE BE'!$R$48</f>
        <v>2.0007694390022999</v>
      </c>
      <c r="S13" s="20">
        <f>SUM($R$13:$R$13)</f>
        <v>2.0007694390022999</v>
      </c>
      <c r="T13" s="20">
        <f>'TE BE'!$T$13*'TE BE'!$T$48</f>
        <v>0</v>
      </c>
      <c r="U13" s="20">
        <f>'TE BE'!$U$13*'TE BE'!$U$48</f>
        <v>0</v>
      </c>
      <c r="V13" s="20">
        <f>'TE BE'!$V$13*'TE BE'!$V$48</f>
        <v>0</v>
      </c>
      <c r="W13" s="20">
        <f>SUM($T$13:$V$13)</f>
        <v>0</v>
      </c>
      <c r="X13" s="20">
        <f>'TE BE'!$AB$13*'TE BE'!$X$48</f>
        <v>-6.0835263833486151</v>
      </c>
      <c r="Y13" s="20">
        <f>SUM($X$13:$X$13)</f>
        <v>-6.0835263833486151</v>
      </c>
      <c r="Z13" s="20">
        <f>'TE BE'!$Z$13*'TE BE'!$Z$48</f>
        <v>0</v>
      </c>
      <c r="AA13" s="20">
        <f>SUM($Z$13:$Z$13)</f>
        <v>0</v>
      </c>
      <c r="AB13" s="20">
        <f>SUMIF($L$4:$AA$4,"SUBTOTAL",$L$13:$AA$13)</f>
        <v>-4.0827569443463148</v>
      </c>
    </row>
    <row r="14" spans="1:28" ht="11.25" customHeight="1" x14ac:dyDescent="0.25">
      <c r="A14" s="112"/>
      <c r="B14" s="112"/>
      <c r="C14" s="112"/>
      <c r="D14" s="23" t="s">
        <v>30</v>
      </c>
      <c r="E14" s="23" t="s">
        <v>25</v>
      </c>
      <c r="F14" s="23" t="s">
        <v>25</v>
      </c>
      <c r="G14" s="22" t="s">
        <v>69</v>
      </c>
      <c r="H14" s="22" t="s">
        <v>63</v>
      </c>
      <c r="I14" s="22">
        <f>'MERCADO TE'!$U$11</f>
        <v>0.31900000000000001</v>
      </c>
      <c r="J14" s="15"/>
      <c r="L14" s="20">
        <f>'TE BE'!$L$14*'TE BE'!$L$48</f>
        <v>0</v>
      </c>
      <c r="M14" s="20">
        <f>'TE BE'!$M$14*'TE BE'!$M$48</f>
        <v>0</v>
      </c>
      <c r="N14" s="20">
        <f>'TE BE'!$N$14*'TE BE'!$N$48</f>
        <v>0</v>
      </c>
      <c r="O14" s="20">
        <f>'TE BE'!$O$14*'TE BE'!$O$48</f>
        <v>0</v>
      </c>
      <c r="P14" s="20">
        <f>'TE BE'!$P$14*'TE BE'!$P$48</f>
        <v>0</v>
      </c>
      <c r="Q14" s="20">
        <f>SUM($L$14:$P$14)</f>
        <v>0</v>
      </c>
      <c r="R14" s="20">
        <f>'TE BE'!$R$14*'TE BE'!$R$48</f>
        <v>2.0007694390022999</v>
      </c>
      <c r="S14" s="20">
        <f>SUM($R$14:$R$14)</f>
        <v>2.0007694390022999</v>
      </c>
      <c r="T14" s="20">
        <f>'TE BE'!$T$14*'TE BE'!$T$48</f>
        <v>0</v>
      </c>
      <c r="U14" s="20">
        <f>'TE BE'!$U$14*'TE BE'!$U$48</f>
        <v>0</v>
      </c>
      <c r="V14" s="20">
        <f>'TE BE'!$V$14*'TE BE'!$V$48</f>
        <v>0</v>
      </c>
      <c r="W14" s="20">
        <f>SUM($T$14:$V$14)</f>
        <v>0</v>
      </c>
      <c r="X14" s="20">
        <f>'TE BE'!$AB$14*'TE BE'!$X$48</f>
        <v>-6.0835263833486151</v>
      </c>
      <c r="Y14" s="20">
        <f>SUM($X$14:$X$14)</f>
        <v>-6.0835263833486151</v>
      </c>
      <c r="Z14" s="20">
        <f>'TE BE'!$Z$14*'TE BE'!$Z$48</f>
        <v>0</v>
      </c>
      <c r="AA14" s="20">
        <f>SUM($Z$14:$Z$14)</f>
        <v>0</v>
      </c>
      <c r="AB14" s="20">
        <f>SUMIF($L$4:$AA$4,"SUBTOTAL",$L$14:$AA$14)</f>
        <v>-4.0827569443463148</v>
      </c>
    </row>
    <row r="15" spans="1:28" ht="11.25" customHeight="1" x14ac:dyDescent="0.25">
      <c r="A15" s="112"/>
      <c r="B15" s="112" t="s">
        <v>78</v>
      </c>
      <c r="C15" s="112" t="s">
        <v>24</v>
      </c>
      <c r="D15" s="23" t="s">
        <v>24</v>
      </c>
      <c r="E15" s="23" t="s">
        <v>25</v>
      </c>
      <c r="F15" s="23" t="s">
        <v>25</v>
      </c>
      <c r="G15" s="22" t="s">
        <v>69</v>
      </c>
      <c r="H15" s="22" t="s">
        <v>63</v>
      </c>
      <c r="I15" s="22">
        <f>'MERCADO TE'!$U$12</f>
        <v>0</v>
      </c>
      <c r="J15" s="15"/>
      <c r="L15" s="20">
        <f>'TE BE'!$L$15*'TE BE'!$L$48</f>
        <v>0</v>
      </c>
      <c r="M15" s="20">
        <f>'TE BE'!$M$15*'TE BE'!$M$48</f>
        <v>0</v>
      </c>
      <c r="N15" s="20">
        <f>'TE BE'!$N$15*'TE BE'!$N$48</f>
        <v>0</v>
      </c>
      <c r="O15" s="20">
        <f>'TE BE'!$O$15*'TE BE'!$O$48</f>
        <v>0</v>
      </c>
      <c r="P15" s="20">
        <f>'TE BE'!$P$15*'TE BE'!$P$48</f>
        <v>0</v>
      </c>
      <c r="Q15" s="20">
        <f>SUM($L$15:$P$15)</f>
        <v>0</v>
      </c>
      <c r="R15" s="20">
        <f>'TE BE'!$R$15*'TE BE'!$R$48</f>
        <v>2.0007694390022999</v>
      </c>
      <c r="S15" s="20">
        <f>SUM($R$15:$R$15)</f>
        <v>2.0007694390022999</v>
      </c>
      <c r="T15" s="20">
        <f>'TE BE'!$T$15*'TE BE'!$T$48</f>
        <v>0</v>
      </c>
      <c r="U15" s="20">
        <f>'TE BE'!$U$15*'TE BE'!$U$48</f>
        <v>0</v>
      </c>
      <c r="V15" s="20">
        <f>'TE BE'!$V$15*'TE BE'!$V$48</f>
        <v>0</v>
      </c>
      <c r="W15" s="20">
        <f>SUM($T$15:$V$15)</f>
        <v>0</v>
      </c>
      <c r="X15" s="20">
        <f>'TE BE'!$AB$15*'TE BE'!$X$48</f>
        <v>-6.0835263833486151</v>
      </c>
      <c r="Y15" s="20">
        <f>SUM($X$15:$X$15)</f>
        <v>-6.0835263833486151</v>
      </c>
      <c r="Z15" s="20">
        <f>'TE BE'!$Z$15*'TE BE'!$Z$48</f>
        <v>0</v>
      </c>
      <c r="AA15" s="20">
        <f>SUM($Z$15:$Z$15)</f>
        <v>0</v>
      </c>
      <c r="AB15" s="20">
        <f>SUMIF($L$4:$AA$4,"SUBTOTAL",$L$15:$AA$15)</f>
        <v>-4.0827569443463148</v>
      </c>
    </row>
    <row r="16" spans="1:28" ht="11.25" customHeight="1" x14ac:dyDescent="0.25">
      <c r="A16" s="112"/>
      <c r="B16" s="112"/>
      <c r="C16" s="112"/>
      <c r="D16" s="23" t="s">
        <v>27</v>
      </c>
      <c r="E16" s="23" t="s">
        <v>25</v>
      </c>
      <c r="F16" s="23" t="s">
        <v>25</v>
      </c>
      <c r="G16" s="22" t="s">
        <v>69</v>
      </c>
      <c r="H16" s="22" t="s">
        <v>63</v>
      </c>
      <c r="I16" s="22">
        <f>'MERCADO TE'!$U$13</f>
        <v>0</v>
      </c>
      <c r="J16" s="15"/>
      <c r="L16" s="20">
        <f>'TE BE'!$L$16*'TE BE'!$L$48</f>
        <v>0</v>
      </c>
      <c r="M16" s="20">
        <f>'TE BE'!$M$16*'TE BE'!$M$48</f>
        <v>0</v>
      </c>
      <c r="N16" s="20">
        <f>'TE BE'!$N$16*'TE BE'!$N$48</f>
        <v>0</v>
      </c>
      <c r="O16" s="20">
        <f>'TE BE'!$O$16*'TE BE'!$O$48</f>
        <v>0</v>
      </c>
      <c r="P16" s="20">
        <f>'TE BE'!$P$16*'TE BE'!$P$48</f>
        <v>0</v>
      </c>
      <c r="Q16" s="20">
        <f>SUM($L$16:$P$16)</f>
        <v>0</v>
      </c>
      <c r="R16" s="20">
        <f>'TE BE'!$R$16*'TE BE'!$R$48</f>
        <v>2.0007694390022999</v>
      </c>
      <c r="S16" s="20">
        <f>SUM($R$16:$R$16)</f>
        <v>2.0007694390022999</v>
      </c>
      <c r="T16" s="20">
        <f>'TE BE'!$T$16*'TE BE'!$T$48</f>
        <v>0</v>
      </c>
      <c r="U16" s="20">
        <f>'TE BE'!$U$16*'TE BE'!$U$48</f>
        <v>0</v>
      </c>
      <c r="V16" s="20">
        <f>'TE BE'!$V$16*'TE BE'!$V$48</f>
        <v>0</v>
      </c>
      <c r="W16" s="20">
        <f>SUM($T$16:$V$16)</f>
        <v>0</v>
      </c>
      <c r="X16" s="20">
        <f>'TE BE'!$AB$16*'TE BE'!$X$48</f>
        <v>-6.0835263833486151</v>
      </c>
      <c r="Y16" s="20">
        <f>SUM($X$16:$X$16)</f>
        <v>-6.0835263833486151</v>
      </c>
      <c r="Z16" s="20">
        <f>'TE BE'!$Z$16*'TE BE'!$Z$48</f>
        <v>0</v>
      </c>
      <c r="AA16" s="20">
        <f>SUM($Z$16:$Z$16)</f>
        <v>0</v>
      </c>
      <c r="AB16" s="20">
        <f>SUMIF($L$4:$AA$4,"SUBTOTAL",$L$16:$AA$16)</f>
        <v>-4.0827569443463148</v>
      </c>
    </row>
    <row r="17" spans="1:28" ht="11.25" customHeight="1" x14ac:dyDescent="0.25">
      <c r="A17" s="112"/>
      <c r="B17" s="112"/>
      <c r="C17" s="112"/>
      <c r="D17" s="23" t="s">
        <v>28</v>
      </c>
      <c r="E17" s="23" t="s">
        <v>25</v>
      </c>
      <c r="F17" s="23" t="s">
        <v>25</v>
      </c>
      <c r="G17" s="22" t="s">
        <v>69</v>
      </c>
      <c r="H17" s="22" t="s">
        <v>63</v>
      </c>
      <c r="I17" s="22">
        <f>'MERCADO TE'!$U$14</f>
        <v>0</v>
      </c>
      <c r="J17" s="15"/>
      <c r="L17" s="20">
        <f>'TE BE'!$L$17*'TE BE'!$L$48</f>
        <v>0</v>
      </c>
      <c r="M17" s="20">
        <f>'TE BE'!$M$17*'TE BE'!$M$48</f>
        <v>0</v>
      </c>
      <c r="N17" s="20">
        <f>'TE BE'!$N$17*'TE BE'!$N$48</f>
        <v>0</v>
      </c>
      <c r="O17" s="20">
        <f>'TE BE'!$O$17*'TE BE'!$O$48</f>
        <v>0</v>
      </c>
      <c r="P17" s="20">
        <f>'TE BE'!$P$17*'TE BE'!$P$48</f>
        <v>0</v>
      </c>
      <c r="Q17" s="20">
        <f>SUM($L$17:$P$17)</f>
        <v>0</v>
      </c>
      <c r="R17" s="20">
        <f>'TE BE'!$R$17*'TE BE'!$R$48</f>
        <v>2.0007694390022999</v>
      </c>
      <c r="S17" s="20">
        <f>SUM($R$17:$R$17)</f>
        <v>2.0007694390022999</v>
      </c>
      <c r="T17" s="20">
        <f>'TE BE'!$T$17*'TE BE'!$T$48</f>
        <v>0</v>
      </c>
      <c r="U17" s="20">
        <f>'TE BE'!$U$17*'TE BE'!$U$48</f>
        <v>0</v>
      </c>
      <c r="V17" s="20">
        <f>'TE BE'!$V$17*'TE BE'!$V$48</f>
        <v>0</v>
      </c>
      <c r="W17" s="20">
        <f>SUM($T$17:$V$17)</f>
        <v>0</v>
      </c>
      <c r="X17" s="20">
        <f>'TE BE'!$AB$17*'TE BE'!$X$48</f>
        <v>-6.0835263833486151</v>
      </c>
      <c r="Y17" s="20">
        <f>SUM($X$17:$X$17)</f>
        <v>-6.0835263833486151</v>
      </c>
      <c r="Z17" s="20">
        <f>'TE BE'!$Z$17*'TE BE'!$Z$48</f>
        <v>0</v>
      </c>
      <c r="AA17" s="20">
        <f>SUM($Z$17:$Z$17)</f>
        <v>0</v>
      </c>
      <c r="AB17" s="20">
        <f>SUMIF($L$4:$AA$4,"SUBTOTAL",$L$17:$AA$17)</f>
        <v>-4.0827569443463148</v>
      </c>
    </row>
    <row r="18" spans="1:28" ht="11.25" customHeight="1" x14ac:dyDescent="0.25">
      <c r="A18" s="112"/>
      <c r="B18" s="112"/>
      <c r="C18" s="112"/>
      <c r="D18" s="23" t="s">
        <v>29</v>
      </c>
      <c r="E18" s="23" t="s">
        <v>25</v>
      </c>
      <c r="F18" s="23" t="s">
        <v>25</v>
      </c>
      <c r="G18" s="22" t="s">
        <v>69</v>
      </c>
      <c r="H18" s="22" t="s">
        <v>63</v>
      </c>
      <c r="I18" s="22">
        <f>'MERCADO TE'!$U$15</f>
        <v>0</v>
      </c>
      <c r="J18" s="15"/>
      <c r="L18" s="20">
        <f>'TE BE'!$L$18*'TE BE'!$L$48</f>
        <v>0</v>
      </c>
      <c r="M18" s="20">
        <f>'TE BE'!$M$18*'TE BE'!$M$48</f>
        <v>0</v>
      </c>
      <c r="N18" s="20">
        <f>'TE BE'!$N$18*'TE BE'!$N$48</f>
        <v>0</v>
      </c>
      <c r="O18" s="20">
        <f>'TE BE'!$O$18*'TE BE'!$O$48</f>
        <v>0</v>
      </c>
      <c r="P18" s="20">
        <f>'TE BE'!$P$18*'TE BE'!$P$48</f>
        <v>0</v>
      </c>
      <c r="Q18" s="20">
        <f>SUM($L$18:$P$18)</f>
        <v>0</v>
      </c>
      <c r="R18" s="20">
        <f>'TE BE'!$R$18*'TE BE'!$R$48</f>
        <v>2.0007694390022999</v>
      </c>
      <c r="S18" s="20">
        <f>SUM($R$18:$R$18)</f>
        <v>2.0007694390022999</v>
      </c>
      <c r="T18" s="20">
        <f>'TE BE'!$T$18*'TE BE'!$T$48</f>
        <v>0</v>
      </c>
      <c r="U18" s="20">
        <f>'TE BE'!$U$18*'TE BE'!$U$48</f>
        <v>0</v>
      </c>
      <c r="V18" s="20">
        <f>'TE BE'!$V$18*'TE BE'!$V$48</f>
        <v>0</v>
      </c>
      <c r="W18" s="20">
        <f>SUM($T$18:$V$18)</f>
        <v>0</v>
      </c>
      <c r="X18" s="20">
        <f>'TE BE'!$AB$18*'TE BE'!$X$48</f>
        <v>-6.0835263833486151</v>
      </c>
      <c r="Y18" s="20">
        <f>SUM($X$18:$X$18)</f>
        <v>-6.0835263833486151</v>
      </c>
      <c r="Z18" s="20">
        <f>'TE BE'!$Z$18*'TE BE'!$Z$48</f>
        <v>0</v>
      </c>
      <c r="AA18" s="20">
        <f>SUM($Z$18:$Z$18)</f>
        <v>0</v>
      </c>
      <c r="AB18" s="20">
        <f>SUMIF($L$4:$AA$4,"SUBTOTAL",$L$18:$AA$18)</f>
        <v>-4.0827569443463148</v>
      </c>
    </row>
    <row r="19" spans="1:28" ht="11.25" customHeight="1" x14ac:dyDescent="0.25">
      <c r="A19" s="112"/>
      <c r="B19" s="112"/>
      <c r="C19" s="112"/>
      <c r="D19" s="23" t="s">
        <v>30</v>
      </c>
      <c r="E19" s="23" t="s">
        <v>25</v>
      </c>
      <c r="F19" s="23" t="s">
        <v>25</v>
      </c>
      <c r="G19" s="22" t="s">
        <v>69</v>
      </c>
      <c r="H19" s="22" t="s">
        <v>63</v>
      </c>
      <c r="I19" s="22">
        <f>'MERCADO TE'!$U$16</f>
        <v>0</v>
      </c>
      <c r="J19" s="15"/>
      <c r="L19" s="20">
        <f>'TE BE'!$L$19*'TE BE'!$L$48</f>
        <v>0</v>
      </c>
      <c r="M19" s="20">
        <f>'TE BE'!$M$19*'TE BE'!$M$48</f>
        <v>0</v>
      </c>
      <c r="N19" s="20">
        <f>'TE BE'!$N$19*'TE BE'!$N$48</f>
        <v>0</v>
      </c>
      <c r="O19" s="20">
        <f>'TE BE'!$O$19*'TE BE'!$O$48</f>
        <v>0</v>
      </c>
      <c r="P19" s="20">
        <f>'TE BE'!$P$19*'TE BE'!$P$48</f>
        <v>0</v>
      </c>
      <c r="Q19" s="20">
        <f>SUM($L$19:$P$19)</f>
        <v>0</v>
      </c>
      <c r="R19" s="20">
        <f>'TE BE'!$R$19*'TE BE'!$R$48</f>
        <v>2.0007694390022999</v>
      </c>
      <c r="S19" s="20">
        <f>SUM($R$19:$R$19)</f>
        <v>2.0007694390022999</v>
      </c>
      <c r="T19" s="20">
        <f>'TE BE'!$T$19*'TE BE'!$T$48</f>
        <v>0</v>
      </c>
      <c r="U19" s="20">
        <f>'TE BE'!$U$19*'TE BE'!$U$48</f>
        <v>0</v>
      </c>
      <c r="V19" s="20">
        <f>'TE BE'!$V$19*'TE BE'!$V$48</f>
        <v>0</v>
      </c>
      <c r="W19" s="20">
        <f>SUM($T$19:$V$19)</f>
        <v>0</v>
      </c>
      <c r="X19" s="20">
        <f>'TE BE'!$AB$19*'TE BE'!$X$48</f>
        <v>-6.0835263833486151</v>
      </c>
      <c r="Y19" s="20">
        <f>SUM($X$19:$X$19)</f>
        <v>-6.0835263833486151</v>
      </c>
      <c r="Z19" s="20">
        <f>'TE BE'!$Z$19*'TE BE'!$Z$48</f>
        <v>0</v>
      </c>
      <c r="AA19" s="20">
        <f>SUM($Z$19:$Z$19)</f>
        <v>0</v>
      </c>
      <c r="AB19" s="20">
        <f>SUMIF($L$4:$AA$4,"SUBTOTAL",$L$19:$AA$19)</f>
        <v>-4.0827569443463148</v>
      </c>
    </row>
    <row r="20" spans="1:28" ht="11.25" customHeight="1" x14ac:dyDescent="0.25">
      <c r="A20" s="112" t="s">
        <v>39</v>
      </c>
      <c r="B20" s="112" t="s">
        <v>62</v>
      </c>
      <c r="C20" s="112" t="s">
        <v>40</v>
      </c>
      <c r="D20" s="112" t="s">
        <v>25</v>
      </c>
      <c r="E20" s="112" t="s">
        <v>25</v>
      </c>
      <c r="F20" s="112" t="s">
        <v>25</v>
      </c>
      <c r="G20" s="22" t="s">
        <v>64</v>
      </c>
      <c r="H20" s="22" t="s">
        <v>63</v>
      </c>
      <c r="I20" s="22">
        <f>'MERCADO TE'!$U$17</f>
        <v>0</v>
      </c>
      <c r="J20" s="15"/>
      <c r="L20" s="20">
        <f>'TE BE'!$L$20*'TE BE'!$L$48</f>
        <v>0</v>
      </c>
      <c r="M20" s="20">
        <f>'TE BE'!$M$20*'TE BE'!$M$48</f>
        <v>0</v>
      </c>
      <c r="N20" s="20">
        <f>'TE BE'!$N$20*'TE BE'!$N$48</f>
        <v>0</v>
      </c>
      <c r="O20" s="20">
        <f>'TE BE'!$O$20*'TE BE'!$O$48</f>
        <v>0</v>
      </c>
      <c r="P20" s="20">
        <f>'TE BE'!$P$20*'TE BE'!$P$48</f>
        <v>0</v>
      </c>
      <c r="Q20" s="20">
        <f>SUM($L$20:$P$20)</f>
        <v>0</v>
      </c>
      <c r="R20" s="20">
        <f>'TE BE'!$R$20*'TE BE'!$R$48</f>
        <v>2.0007694390022999</v>
      </c>
      <c r="S20" s="20">
        <f>SUM($R$20:$R$20)</f>
        <v>2.0007694390022999</v>
      </c>
      <c r="T20" s="20">
        <f>'TE BE'!$T$20*'TE BE'!$T$48</f>
        <v>0</v>
      </c>
      <c r="U20" s="20">
        <f>'TE BE'!$U$20*'TE BE'!$U$48</f>
        <v>0</v>
      </c>
      <c r="V20" s="20">
        <f>'TE BE'!$V$20*'TE BE'!$V$48</f>
        <v>0</v>
      </c>
      <c r="W20" s="20">
        <f>SUM($T$20:$V$20)</f>
        <v>0</v>
      </c>
      <c r="X20" s="20">
        <f>'TE BE'!$AB$20*'TE BE'!$X$48</f>
        <v>-6.0835263833486151</v>
      </c>
      <c r="Y20" s="20">
        <f>SUM($X$20:$X$20)</f>
        <v>-6.0835263833486151</v>
      </c>
      <c r="Z20" s="20">
        <f>'TE BE'!$Z$20*'TE BE'!$Z$48</f>
        <v>0</v>
      </c>
      <c r="AA20" s="20">
        <f>SUM($Z$20:$Z$20)</f>
        <v>0</v>
      </c>
      <c r="AB20" s="20">
        <f>SUMIF($L$4:$AA$4,"SUBTOTAL",$L$20:$AA$20)</f>
        <v>-4.0827569443463148</v>
      </c>
    </row>
    <row r="21" spans="1:28" ht="11.25" customHeight="1" x14ac:dyDescent="0.25">
      <c r="A21" s="112"/>
      <c r="B21" s="112"/>
      <c r="C21" s="112"/>
      <c r="D21" s="112"/>
      <c r="E21" s="112"/>
      <c r="F21" s="112"/>
      <c r="G21" s="22" t="s">
        <v>75</v>
      </c>
      <c r="H21" s="22" t="s">
        <v>63</v>
      </c>
      <c r="I21" s="22">
        <f>'MERCADO TE'!$U$18</f>
        <v>0</v>
      </c>
      <c r="J21" s="15"/>
      <c r="L21" s="20">
        <f>'TE BE'!$L$21*'TE BE'!$L$48</f>
        <v>0</v>
      </c>
      <c r="M21" s="20">
        <f>'TE BE'!$M$21*'TE BE'!$M$48</f>
        <v>0</v>
      </c>
      <c r="N21" s="20">
        <f>'TE BE'!$N$21*'TE BE'!$N$48</f>
        <v>0</v>
      </c>
      <c r="O21" s="20">
        <f>'TE BE'!$O$21*'TE BE'!$O$48</f>
        <v>0</v>
      </c>
      <c r="P21" s="20">
        <f>'TE BE'!$P$21*'TE BE'!$P$48</f>
        <v>0</v>
      </c>
      <c r="Q21" s="20">
        <f>SUM($L$21:$P$21)</f>
        <v>0</v>
      </c>
      <c r="R21" s="20">
        <f>'TE BE'!$R$21*'TE BE'!$R$48</f>
        <v>2.0007694390022999</v>
      </c>
      <c r="S21" s="20">
        <f>SUM($R$21:$R$21)</f>
        <v>2.0007694390022999</v>
      </c>
      <c r="T21" s="20">
        <f>'TE BE'!$T$21*'TE BE'!$T$48</f>
        <v>0</v>
      </c>
      <c r="U21" s="20">
        <f>'TE BE'!$U$21*'TE BE'!$U$48</f>
        <v>0</v>
      </c>
      <c r="V21" s="20">
        <f>'TE BE'!$V$21*'TE BE'!$V$48</f>
        <v>0</v>
      </c>
      <c r="W21" s="20">
        <f>SUM($T$21:$V$21)</f>
        <v>0</v>
      </c>
      <c r="X21" s="20">
        <f>'TE BE'!$AB$21*'TE BE'!$X$48</f>
        <v>-6.0835263833486151</v>
      </c>
      <c r="Y21" s="20">
        <f>SUM($X$21:$X$21)</f>
        <v>-6.0835263833486151</v>
      </c>
      <c r="Z21" s="20">
        <f>'TE BE'!$Z$21*'TE BE'!$Z$48</f>
        <v>0</v>
      </c>
      <c r="AA21" s="20">
        <f>SUM($Z$21:$Z$21)</f>
        <v>0</v>
      </c>
      <c r="AB21" s="20">
        <f>SUMIF($L$4:$AA$4,"SUBTOTAL",$L$21:$AA$21)</f>
        <v>-4.0827569443463148</v>
      </c>
    </row>
    <row r="22" spans="1:28" ht="11.25" customHeight="1" x14ac:dyDescent="0.25">
      <c r="A22" s="112"/>
      <c r="B22" s="112"/>
      <c r="C22" s="112"/>
      <c r="D22" s="112"/>
      <c r="E22" s="112"/>
      <c r="F22" s="112"/>
      <c r="G22" s="22" t="s">
        <v>65</v>
      </c>
      <c r="H22" s="22" t="s">
        <v>63</v>
      </c>
      <c r="I22" s="22">
        <f>'MERCADO TE'!$U$19</f>
        <v>0</v>
      </c>
      <c r="J22" s="15"/>
      <c r="L22" s="20">
        <f>'TE BE'!$L$22*'TE BE'!$L$48</f>
        <v>0</v>
      </c>
      <c r="M22" s="20">
        <f>'TE BE'!$M$22*'TE BE'!$M$48</f>
        <v>0</v>
      </c>
      <c r="N22" s="20">
        <f>'TE BE'!$N$22*'TE BE'!$N$48</f>
        <v>0</v>
      </c>
      <c r="O22" s="20">
        <f>'TE BE'!$O$22*'TE BE'!$O$48</f>
        <v>0</v>
      </c>
      <c r="P22" s="20">
        <f>'TE BE'!$P$22*'TE BE'!$P$48</f>
        <v>0</v>
      </c>
      <c r="Q22" s="20">
        <f>SUM($L$22:$P$22)</f>
        <v>0</v>
      </c>
      <c r="R22" s="20">
        <f>'TE BE'!$R$22*'TE BE'!$R$48</f>
        <v>2.0007694390022999</v>
      </c>
      <c r="S22" s="20">
        <f>SUM($R$22:$R$22)</f>
        <v>2.0007694390022999</v>
      </c>
      <c r="T22" s="20">
        <f>'TE BE'!$T$22*'TE BE'!$T$48</f>
        <v>0</v>
      </c>
      <c r="U22" s="20">
        <f>'TE BE'!$U$22*'TE BE'!$U$48</f>
        <v>0</v>
      </c>
      <c r="V22" s="20">
        <f>'TE BE'!$V$22*'TE BE'!$V$48</f>
        <v>0</v>
      </c>
      <c r="W22" s="20">
        <f>SUM($T$22:$V$22)</f>
        <v>0</v>
      </c>
      <c r="X22" s="20">
        <f>'TE BE'!$AB$22*'TE BE'!$X$48</f>
        <v>-6.0835263833486151</v>
      </c>
      <c r="Y22" s="20">
        <f>SUM($X$22:$X$22)</f>
        <v>-6.0835263833486151</v>
      </c>
      <c r="Z22" s="20">
        <f>'TE BE'!$Z$22*'TE BE'!$Z$48</f>
        <v>0</v>
      </c>
      <c r="AA22" s="20">
        <f>SUM($Z$22:$Z$22)</f>
        <v>0</v>
      </c>
      <c r="AB22" s="20">
        <f>SUMIF($L$4:$AA$4,"SUBTOTAL",$L$22:$AA$22)</f>
        <v>-4.0827569443463148</v>
      </c>
    </row>
    <row r="23" spans="1:28" ht="11.25" customHeight="1" x14ac:dyDescent="0.25">
      <c r="A23" s="112"/>
      <c r="B23" s="23" t="s">
        <v>76</v>
      </c>
      <c r="C23" s="23" t="s">
        <v>40</v>
      </c>
      <c r="D23" s="23" t="s">
        <v>25</v>
      </c>
      <c r="E23" s="23" t="s">
        <v>25</v>
      </c>
      <c r="F23" s="23" t="s">
        <v>25</v>
      </c>
      <c r="G23" s="22" t="s">
        <v>69</v>
      </c>
      <c r="H23" s="22" t="s">
        <v>63</v>
      </c>
      <c r="I23" s="22">
        <f>'MERCADO TE'!$U$20</f>
        <v>668.58</v>
      </c>
      <c r="J23" s="15"/>
      <c r="L23" s="20">
        <f>'TE BE'!$L$23*'TE BE'!$L$48</f>
        <v>0</v>
      </c>
      <c r="M23" s="20">
        <f>'TE BE'!$M$23*'TE BE'!$M$48</f>
        <v>0</v>
      </c>
      <c r="N23" s="20">
        <f>'TE BE'!$N$23*'TE BE'!$N$48</f>
        <v>0</v>
      </c>
      <c r="O23" s="20">
        <f>'TE BE'!$O$23*'TE BE'!$O$48</f>
        <v>0</v>
      </c>
      <c r="P23" s="20">
        <f>'TE BE'!$P$23*'TE BE'!$P$48</f>
        <v>0</v>
      </c>
      <c r="Q23" s="20">
        <f>SUM($L$23:$P$23)</f>
        <v>0</v>
      </c>
      <c r="R23" s="20">
        <f>'TE BE'!$R$23*'TE BE'!$R$48</f>
        <v>2.0007694390022999</v>
      </c>
      <c r="S23" s="20">
        <f>SUM($R$23:$R$23)</f>
        <v>2.0007694390022999</v>
      </c>
      <c r="T23" s="20">
        <f>'TE BE'!$T$23*'TE BE'!$T$48</f>
        <v>0</v>
      </c>
      <c r="U23" s="20">
        <f>'TE BE'!$U$23*'TE BE'!$U$48</f>
        <v>0</v>
      </c>
      <c r="V23" s="20">
        <f>'TE BE'!$V$23*'TE BE'!$V$48</f>
        <v>0</v>
      </c>
      <c r="W23" s="20">
        <f>SUM($T$23:$V$23)</f>
        <v>0</v>
      </c>
      <c r="X23" s="20">
        <f>'TE BE'!$AB$23*'TE BE'!$X$48</f>
        <v>-6.0835263833486151</v>
      </c>
      <c r="Y23" s="20">
        <f>SUM($X$23:$X$23)</f>
        <v>-6.0835263833486151</v>
      </c>
      <c r="Z23" s="20">
        <f>'TE BE'!$Z$23*'TE BE'!$Z$48</f>
        <v>0</v>
      </c>
      <c r="AA23" s="20">
        <f>SUM($Z$23:$Z$23)</f>
        <v>0</v>
      </c>
      <c r="AB23" s="20">
        <f>SUMIF($L$4:$AA$4,"SUBTOTAL",$L$23:$AA$23)</f>
        <v>-4.0827569443463148</v>
      </c>
    </row>
    <row r="24" spans="1:28" ht="11.25" customHeight="1" x14ac:dyDescent="0.25">
      <c r="A24" s="112"/>
      <c r="B24" s="112" t="s">
        <v>62</v>
      </c>
      <c r="C24" s="112" t="s">
        <v>40</v>
      </c>
      <c r="D24" s="112" t="s">
        <v>80</v>
      </c>
      <c r="E24" s="112" t="s">
        <v>25</v>
      </c>
      <c r="F24" s="112" t="s">
        <v>25</v>
      </c>
      <c r="G24" s="22" t="s">
        <v>64</v>
      </c>
      <c r="H24" s="22" t="s">
        <v>63</v>
      </c>
      <c r="I24" s="22">
        <f>'MERCADO TE'!$U$21</f>
        <v>0</v>
      </c>
      <c r="J24" s="15"/>
      <c r="L24" s="20">
        <f>'TE BE'!$L$24*'TE BE'!$L$48</f>
        <v>0</v>
      </c>
      <c r="M24" s="20">
        <f>'TE BE'!$M$24*'TE BE'!$M$48</f>
        <v>0</v>
      </c>
      <c r="N24" s="20">
        <f>'TE BE'!$N$24*'TE BE'!$N$48</f>
        <v>0</v>
      </c>
      <c r="O24" s="20">
        <f>'TE BE'!$O$24*'TE BE'!$O$48</f>
        <v>0</v>
      </c>
      <c r="P24" s="20">
        <f>'TE BE'!$P$24*'TE BE'!$P$48</f>
        <v>0</v>
      </c>
      <c r="Q24" s="20">
        <f>SUM($L$24:$P$24)</f>
        <v>0</v>
      </c>
      <c r="R24" s="20">
        <f>'TE BE'!$R$24*'TE BE'!$R$48</f>
        <v>2.0007694390022999</v>
      </c>
      <c r="S24" s="20">
        <f>SUM($R$24:$R$24)</f>
        <v>2.0007694390022999</v>
      </c>
      <c r="T24" s="20">
        <f>'TE BE'!$T$24*'TE BE'!$T$48</f>
        <v>0</v>
      </c>
      <c r="U24" s="20">
        <f>'TE BE'!$U$24*'TE BE'!$U$48</f>
        <v>0</v>
      </c>
      <c r="V24" s="20">
        <f>'TE BE'!$V$24*'TE BE'!$V$48</f>
        <v>0</v>
      </c>
      <c r="W24" s="20">
        <f>SUM($T$24:$V$24)</f>
        <v>0</v>
      </c>
      <c r="X24" s="20">
        <f>'TE BE'!$AB$24*'TE BE'!$X$48</f>
        <v>-6.0835263833486151</v>
      </c>
      <c r="Y24" s="20">
        <f>SUM($X$24:$X$24)</f>
        <v>-6.0835263833486151</v>
      </c>
      <c r="Z24" s="20">
        <f>'TE BE'!$Z$24*'TE BE'!$Z$48</f>
        <v>0</v>
      </c>
      <c r="AA24" s="20">
        <f>SUM($Z$24:$Z$24)</f>
        <v>0</v>
      </c>
      <c r="AB24" s="20">
        <f>SUMIF($L$4:$AA$4,"SUBTOTAL",$L$24:$AA$24)</f>
        <v>-4.0827569443463148</v>
      </c>
    </row>
    <row r="25" spans="1:28" ht="11.25" customHeight="1" x14ac:dyDescent="0.25">
      <c r="A25" s="112"/>
      <c r="B25" s="112"/>
      <c r="C25" s="112"/>
      <c r="D25" s="112"/>
      <c r="E25" s="112"/>
      <c r="F25" s="112"/>
      <c r="G25" s="22" t="s">
        <v>75</v>
      </c>
      <c r="H25" s="22" t="s">
        <v>63</v>
      </c>
      <c r="I25" s="22">
        <f>'MERCADO TE'!$U$22</f>
        <v>0</v>
      </c>
      <c r="J25" s="15"/>
      <c r="L25" s="20">
        <f>'TE BE'!$L$25*'TE BE'!$L$48</f>
        <v>0</v>
      </c>
      <c r="M25" s="20">
        <f>'TE BE'!$M$25*'TE BE'!$M$48</f>
        <v>0</v>
      </c>
      <c r="N25" s="20">
        <f>'TE BE'!$N$25*'TE BE'!$N$48</f>
        <v>0</v>
      </c>
      <c r="O25" s="20">
        <f>'TE BE'!$O$25*'TE BE'!$O$48</f>
        <v>0</v>
      </c>
      <c r="P25" s="20">
        <f>'TE BE'!$P$25*'TE BE'!$P$48</f>
        <v>0</v>
      </c>
      <c r="Q25" s="20">
        <f>SUM($L$25:$P$25)</f>
        <v>0</v>
      </c>
      <c r="R25" s="20">
        <f>'TE BE'!$R$25*'TE BE'!$R$48</f>
        <v>2.0007694390022999</v>
      </c>
      <c r="S25" s="20">
        <f>SUM($R$25:$R$25)</f>
        <v>2.0007694390022999</v>
      </c>
      <c r="T25" s="20">
        <f>'TE BE'!$T$25*'TE BE'!$T$48</f>
        <v>0</v>
      </c>
      <c r="U25" s="20">
        <f>'TE BE'!$U$25*'TE BE'!$U$48</f>
        <v>0</v>
      </c>
      <c r="V25" s="20">
        <f>'TE BE'!$V$25*'TE BE'!$V$48</f>
        <v>0</v>
      </c>
      <c r="W25" s="20">
        <f>SUM($T$25:$V$25)</f>
        <v>0</v>
      </c>
      <c r="X25" s="20">
        <f>'TE BE'!$AB$25*'TE BE'!$X$48</f>
        <v>-6.0835263833486151</v>
      </c>
      <c r="Y25" s="20">
        <f>SUM($X$25:$X$25)</f>
        <v>-6.0835263833486151</v>
      </c>
      <c r="Z25" s="20">
        <f>'TE BE'!$Z$25*'TE BE'!$Z$48</f>
        <v>0</v>
      </c>
      <c r="AA25" s="20">
        <f>SUM($Z$25:$Z$25)</f>
        <v>0</v>
      </c>
      <c r="AB25" s="20">
        <f>SUMIF($L$4:$AA$4,"SUBTOTAL",$L$25:$AA$25)</f>
        <v>-4.0827569443463148</v>
      </c>
    </row>
    <row r="26" spans="1:28" ht="11.25" customHeight="1" x14ac:dyDescent="0.25">
      <c r="A26" s="112"/>
      <c r="B26" s="112"/>
      <c r="C26" s="112"/>
      <c r="D26" s="112"/>
      <c r="E26" s="112"/>
      <c r="F26" s="112"/>
      <c r="G26" s="22" t="s">
        <v>65</v>
      </c>
      <c r="H26" s="22" t="s">
        <v>63</v>
      </c>
      <c r="I26" s="22">
        <f>'MERCADO TE'!$U$23</f>
        <v>0</v>
      </c>
      <c r="J26" s="15"/>
      <c r="L26" s="20">
        <f>'TE BE'!$L$26*'TE BE'!$L$48</f>
        <v>0</v>
      </c>
      <c r="M26" s="20">
        <f>'TE BE'!$M$26*'TE BE'!$M$48</f>
        <v>0</v>
      </c>
      <c r="N26" s="20">
        <f>'TE BE'!$N$26*'TE BE'!$N$48</f>
        <v>0</v>
      </c>
      <c r="O26" s="20">
        <f>'TE BE'!$O$26*'TE BE'!$O$48</f>
        <v>0</v>
      </c>
      <c r="P26" s="20">
        <f>'TE BE'!$P$26*'TE BE'!$P$48</f>
        <v>0</v>
      </c>
      <c r="Q26" s="20">
        <f>SUM($L$26:$P$26)</f>
        <v>0</v>
      </c>
      <c r="R26" s="20">
        <f>'TE BE'!$R$26*'TE BE'!$R$48</f>
        <v>2.0007694390022999</v>
      </c>
      <c r="S26" s="20">
        <f>SUM($R$26:$R$26)</f>
        <v>2.0007694390022999</v>
      </c>
      <c r="T26" s="20">
        <f>'TE BE'!$T$26*'TE BE'!$T$48</f>
        <v>0</v>
      </c>
      <c r="U26" s="20">
        <f>'TE BE'!$U$26*'TE BE'!$U$48</f>
        <v>0</v>
      </c>
      <c r="V26" s="20">
        <f>'TE BE'!$V$26*'TE BE'!$V$48</f>
        <v>0</v>
      </c>
      <c r="W26" s="20">
        <f>SUM($T$26:$V$26)</f>
        <v>0</v>
      </c>
      <c r="X26" s="20">
        <f>'TE BE'!$AB$26*'TE BE'!$X$48</f>
        <v>-6.0835263833486151</v>
      </c>
      <c r="Y26" s="20">
        <f>SUM($X$26:$X$26)</f>
        <v>-6.0835263833486151</v>
      </c>
      <c r="Z26" s="20">
        <f>'TE BE'!$Z$26*'TE BE'!$Z$48</f>
        <v>0</v>
      </c>
      <c r="AA26" s="20">
        <f>SUM($Z$26:$Z$26)</f>
        <v>0</v>
      </c>
      <c r="AB26" s="20">
        <f>SUMIF($L$4:$AA$4,"SUBTOTAL",$L$26:$AA$26)</f>
        <v>-4.0827569443463148</v>
      </c>
    </row>
    <row r="27" spans="1:28" ht="11.25" customHeight="1" x14ac:dyDescent="0.25">
      <c r="A27" s="112"/>
      <c r="B27" s="23" t="s">
        <v>76</v>
      </c>
      <c r="C27" s="23" t="s">
        <v>40</v>
      </c>
      <c r="D27" s="23" t="s">
        <v>80</v>
      </c>
      <c r="E27" s="23" t="s">
        <v>25</v>
      </c>
      <c r="F27" s="23" t="s">
        <v>25</v>
      </c>
      <c r="G27" s="22" t="s">
        <v>69</v>
      </c>
      <c r="H27" s="22" t="s">
        <v>63</v>
      </c>
      <c r="I27" s="22">
        <f>'MERCADO TE'!$U$24</f>
        <v>0</v>
      </c>
      <c r="J27" s="15"/>
      <c r="L27" s="20">
        <f>'TE BE'!$L$27*'TE BE'!$L$48</f>
        <v>0</v>
      </c>
      <c r="M27" s="20">
        <f>'TE BE'!$M$27*'TE BE'!$M$48</f>
        <v>0</v>
      </c>
      <c r="N27" s="20">
        <f>'TE BE'!$N$27*'TE BE'!$N$48</f>
        <v>0</v>
      </c>
      <c r="O27" s="20">
        <f>'TE BE'!$O$27*'TE BE'!$O$48</f>
        <v>0</v>
      </c>
      <c r="P27" s="20">
        <f>'TE BE'!$P$27*'TE BE'!$P$48</f>
        <v>0</v>
      </c>
      <c r="Q27" s="20">
        <f>SUM($L$27:$P$27)</f>
        <v>0</v>
      </c>
      <c r="R27" s="20">
        <f>'TE BE'!$R$27*'TE BE'!$R$48</f>
        <v>2.0007694390022999</v>
      </c>
      <c r="S27" s="20">
        <f>SUM($R$27:$R$27)</f>
        <v>2.0007694390022999</v>
      </c>
      <c r="T27" s="20">
        <f>'TE BE'!$T$27*'TE BE'!$T$48</f>
        <v>0</v>
      </c>
      <c r="U27" s="20">
        <f>'TE BE'!$U$27*'TE BE'!$U$48</f>
        <v>0</v>
      </c>
      <c r="V27" s="20">
        <f>'TE BE'!$V$27*'TE BE'!$V$48</f>
        <v>0</v>
      </c>
      <c r="W27" s="20">
        <f>SUM($T$27:$V$27)</f>
        <v>0</v>
      </c>
      <c r="X27" s="20">
        <f>'TE BE'!$AB$27*'TE BE'!$X$48</f>
        <v>-6.0835263833486151</v>
      </c>
      <c r="Y27" s="20">
        <f>SUM($X$27:$X$27)</f>
        <v>-6.0835263833486151</v>
      </c>
      <c r="Z27" s="20">
        <f>'TE BE'!$Z$27*'TE BE'!$Z$48</f>
        <v>0</v>
      </c>
      <c r="AA27" s="20">
        <f>SUM($Z$27:$Z$27)</f>
        <v>0</v>
      </c>
      <c r="AB27" s="20">
        <f>SUMIF($L$4:$AA$4,"SUBTOTAL",$L$27:$AA$27)</f>
        <v>-4.0827569443463148</v>
      </c>
    </row>
    <row r="28" spans="1:28" ht="11.25" customHeight="1" x14ac:dyDescent="0.25">
      <c r="A28" s="112"/>
      <c r="B28" s="112" t="s">
        <v>62</v>
      </c>
      <c r="C28" s="112" t="s">
        <v>40</v>
      </c>
      <c r="D28" s="112" t="s">
        <v>81</v>
      </c>
      <c r="E28" s="112" t="s">
        <v>25</v>
      </c>
      <c r="F28" s="112" t="s">
        <v>25</v>
      </c>
      <c r="G28" s="22" t="s">
        <v>64</v>
      </c>
      <c r="H28" s="22" t="s">
        <v>63</v>
      </c>
      <c r="I28" s="22">
        <f>'MERCADO TE'!$U$25</f>
        <v>0</v>
      </c>
      <c r="J28" s="15"/>
      <c r="L28" s="20">
        <f>'TE BE'!$L$28*'TE BE'!$L$48</f>
        <v>0</v>
      </c>
      <c r="M28" s="20">
        <f>'TE BE'!$M$28*'TE BE'!$M$48</f>
        <v>0</v>
      </c>
      <c r="N28" s="20">
        <f>'TE BE'!$N$28*'TE BE'!$N$48</f>
        <v>0</v>
      </c>
      <c r="O28" s="20">
        <f>'TE BE'!$O$28*'TE BE'!$O$48</f>
        <v>0</v>
      </c>
      <c r="P28" s="20">
        <f>'TE BE'!$P$28*'TE BE'!$P$48</f>
        <v>0</v>
      </c>
      <c r="Q28" s="20">
        <f>SUM($L$28:$P$28)</f>
        <v>0</v>
      </c>
      <c r="R28" s="20">
        <f>'TE BE'!$R$28*'TE BE'!$R$48</f>
        <v>2.0007694390022999</v>
      </c>
      <c r="S28" s="20">
        <f>SUM($R$28:$R$28)</f>
        <v>2.0007694390022999</v>
      </c>
      <c r="T28" s="20">
        <f>'TE BE'!$T$28*'TE BE'!$T$48</f>
        <v>0</v>
      </c>
      <c r="U28" s="20">
        <f>'TE BE'!$U$28*'TE BE'!$U$48</f>
        <v>0</v>
      </c>
      <c r="V28" s="20">
        <f>'TE BE'!$V$28*'TE BE'!$V$48</f>
        <v>0</v>
      </c>
      <c r="W28" s="20">
        <f>SUM($T$28:$V$28)</f>
        <v>0</v>
      </c>
      <c r="X28" s="20">
        <f>'TE BE'!$AB$28*'TE BE'!$X$48</f>
        <v>-6.0835263833486151</v>
      </c>
      <c r="Y28" s="20">
        <f>SUM($X$28:$X$28)</f>
        <v>-6.0835263833486151</v>
      </c>
      <c r="Z28" s="20">
        <f>'TE BE'!$Z$28*'TE BE'!$Z$48</f>
        <v>0</v>
      </c>
      <c r="AA28" s="20">
        <f>SUM($Z$28:$Z$28)</f>
        <v>0</v>
      </c>
      <c r="AB28" s="20">
        <f>SUMIF($L$4:$AA$4,"SUBTOTAL",$L$28:$AA$28)</f>
        <v>-4.0827569443463148</v>
      </c>
    </row>
    <row r="29" spans="1:28" ht="11.25" customHeight="1" x14ac:dyDescent="0.25">
      <c r="A29" s="112"/>
      <c r="B29" s="112"/>
      <c r="C29" s="112"/>
      <c r="D29" s="112"/>
      <c r="E29" s="112"/>
      <c r="F29" s="112"/>
      <c r="G29" s="22" t="s">
        <v>75</v>
      </c>
      <c r="H29" s="22" t="s">
        <v>63</v>
      </c>
      <c r="I29" s="22">
        <f>'MERCADO TE'!$U$26</f>
        <v>0</v>
      </c>
      <c r="J29" s="15"/>
      <c r="L29" s="20">
        <f>'TE BE'!$L$29*'TE BE'!$L$48</f>
        <v>0</v>
      </c>
      <c r="M29" s="20">
        <f>'TE BE'!$M$29*'TE BE'!$M$48</f>
        <v>0</v>
      </c>
      <c r="N29" s="20">
        <f>'TE BE'!$N$29*'TE BE'!$N$48</f>
        <v>0</v>
      </c>
      <c r="O29" s="20">
        <f>'TE BE'!$O$29*'TE BE'!$O$48</f>
        <v>0</v>
      </c>
      <c r="P29" s="20">
        <f>'TE BE'!$P$29*'TE BE'!$P$48</f>
        <v>0</v>
      </c>
      <c r="Q29" s="20">
        <f>SUM($L$29:$P$29)</f>
        <v>0</v>
      </c>
      <c r="R29" s="20">
        <f>'TE BE'!$R$29*'TE BE'!$R$48</f>
        <v>2.0007694390022999</v>
      </c>
      <c r="S29" s="20">
        <f>SUM($R$29:$R$29)</f>
        <v>2.0007694390022999</v>
      </c>
      <c r="T29" s="20">
        <f>'TE BE'!$T$29*'TE BE'!$T$48</f>
        <v>0</v>
      </c>
      <c r="U29" s="20">
        <f>'TE BE'!$U$29*'TE BE'!$U$48</f>
        <v>0</v>
      </c>
      <c r="V29" s="20">
        <f>'TE BE'!$V$29*'TE BE'!$V$48</f>
        <v>0</v>
      </c>
      <c r="W29" s="20">
        <f>SUM($T$29:$V$29)</f>
        <v>0</v>
      </c>
      <c r="X29" s="20">
        <f>'TE BE'!$AB$29*'TE BE'!$X$48</f>
        <v>-6.0835263833486151</v>
      </c>
      <c r="Y29" s="20">
        <f>SUM($X$29:$X$29)</f>
        <v>-6.0835263833486151</v>
      </c>
      <c r="Z29" s="20">
        <f>'TE BE'!$Z$29*'TE BE'!$Z$48</f>
        <v>0</v>
      </c>
      <c r="AA29" s="20">
        <f>SUM($Z$29:$Z$29)</f>
        <v>0</v>
      </c>
      <c r="AB29" s="20">
        <f>SUMIF($L$4:$AA$4,"SUBTOTAL",$L$29:$AA$29)</f>
        <v>-4.0827569443463148</v>
      </c>
    </row>
    <row r="30" spans="1:28" ht="11.25" customHeight="1" x14ac:dyDescent="0.25">
      <c r="A30" s="112"/>
      <c r="B30" s="112"/>
      <c r="C30" s="112"/>
      <c r="D30" s="112"/>
      <c r="E30" s="112"/>
      <c r="F30" s="112"/>
      <c r="G30" s="22" t="s">
        <v>65</v>
      </c>
      <c r="H30" s="22" t="s">
        <v>63</v>
      </c>
      <c r="I30" s="22">
        <f>'MERCADO TE'!$U$27</f>
        <v>0</v>
      </c>
      <c r="J30" s="15"/>
      <c r="L30" s="20">
        <f>'TE BE'!$L$30*'TE BE'!$L$48</f>
        <v>0</v>
      </c>
      <c r="M30" s="20">
        <f>'TE BE'!$M$30*'TE BE'!$M$48</f>
        <v>0</v>
      </c>
      <c r="N30" s="20">
        <f>'TE BE'!$N$30*'TE BE'!$N$48</f>
        <v>0</v>
      </c>
      <c r="O30" s="20">
        <f>'TE BE'!$O$30*'TE BE'!$O$48</f>
        <v>0</v>
      </c>
      <c r="P30" s="20">
        <f>'TE BE'!$P$30*'TE BE'!$P$48</f>
        <v>0</v>
      </c>
      <c r="Q30" s="20">
        <f>SUM($L$30:$P$30)</f>
        <v>0</v>
      </c>
      <c r="R30" s="20">
        <f>'TE BE'!$R$30*'TE BE'!$R$48</f>
        <v>2.0007694390022999</v>
      </c>
      <c r="S30" s="20">
        <f>SUM($R$30:$R$30)</f>
        <v>2.0007694390022999</v>
      </c>
      <c r="T30" s="20">
        <f>'TE BE'!$T$30*'TE BE'!$T$48</f>
        <v>0</v>
      </c>
      <c r="U30" s="20">
        <f>'TE BE'!$U$30*'TE BE'!$U$48</f>
        <v>0</v>
      </c>
      <c r="V30" s="20">
        <f>'TE BE'!$V$30*'TE BE'!$V$48</f>
        <v>0</v>
      </c>
      <c r="W30" s="20">
        <f>SUM($T$30:$V$30)</f>
        <v>0</v>
      </c>
      <c r="X30" s="20">
        <f>'TE BE'!$AB$30*'TE BE'!$X$48</f>
        <v>-6.0835263833486151</v>
      </c>
      <c r="Y30" s="20">
        <f>SUM($X$30:$X$30)</f>
        <v>-6.0835263833486151</v>
      </c>
      <c r="Z30" s="20">
        <f>'TE BE'!$Z$30*'TE BE'!$Z$48</f>
        <v>0</v>
      </c>
      <c r="AA30" s="20">
        <f>SUM($Z$30:$Z$30)</f>
        <v>0</v>
      </c>
      <c r="AB30" s="20">
        <f>SUMIF($L$4:$AA$4,"SUBTOTAL",$L$30:$AA$30)</f>
        <v>-4.0827569443463148</v>
      </c>
    </row>
    <row r="31" spans="1:28" ht="11.25" customHeight="1" x14ac:dyDescent="0.25">
      <c r="A31" s="112"/>
      <c r="B31" s="23" t="s">
        <v>76</v>
      </c>
      <c r="C31" s="23" t="s">
        <v>40</v>
      </c>
      <c r="D31" s="23" t="s">
        <v>81</v>
      </c>
      <c r="E31" s="23" t="s">
        <v>25</v>
      </c>
      <c r="F31" s="23" t="s">
        <v>25</v>
      </c>
      <c r="G31" s="22" t="s">
        <v>69</v>
      </c>
      <c r="H31" s="22" t="s">
        <v>63</v>
      </c>
      <c r="I31" s="22">
        <f>'MERCADO TE'!$U$28</f>
        <v>0</v>
      </c>
      <c r="J31" s="15"/>
      <c r="L31" s="20">
        <f>'TE BE'!$L$31*'TE BE'!$L$48</f>
        <v>0</v>
      </c>
      <c r="M31" s="20">
        <f>'TE BE'!$M$31*'TE BE'!$M$48</f>
        <v>0</v>
      </c>
      <c r="N31" s="20">
        <f>'TE BE'!$N$31*'TE BE'!$N$48</f>
        <v>0</v>
      </c>
      <c r="O31" s="20">
        <f>'TE BE'!$O$31*'TE BE'!$O$48</f>
        <v>0</v>
      </c>
      <c r="P31" s="20">
        <f>'TE BE'!$P$31*'TE BE'!$P$48</f>
        <v>0</v>
      </c>
      <c r="Q31" s="20">
        <f>SUM($L$31:$P$31)</f>
        <v>0</v>
      </c>
      <c r="R31" s="20">
        <f>'TE BE'!$R$31*'TE BE'!$R$48</f>
        <v>2.0007694390022999</v>
      </c>
      <c r="S31" s="20">
        <f>SUM($R$31:$R$31)</f>
        <v>2.0007694390022999</v>
      </c>
      <c r="T31" s="20">
        <f>'TE BE'!$T$31*'TE BE'!$T$48</f>
        <v>0</v>
      </c>
      <c r="U31" s="20">
        <f>'TE BE'!$U$31*'TE BE'!$U$48</f>
        <v>0</v>
      </c>
      <c r="V31" s="20">
        <f>'TE BE'!$V$31*'TE BE'!$V$48</f>
        <v>0</v>
      </c>
      <c r="W31" s="20">
        <f>SUM($T$31:$V$31)</f>
        <v>0</v>
      </c>
      <c r="X31" s="20">
        <f>'TE BE'!$AB$31*'TE BE'!$X$48</f>
        <v>-6.0835263833486151</v>
      </c>
      <c r="Y31" s="20">
        <f>SUM($X$31:$X$31)</f>
        <v>-6.0835263833486151</v>
      </c>
      <c r="Z31" s="20">
        <f>'TE BE'!$Z$31*'TE BE'!$Z$48</f>
        <v>0</v>
      </c>
      <c r="AA31" s="20">
        <f>SUM($Z$31:$Z$31)</f>
        <v>0</v>
      </c>
      <c r="AB31" s="20">
        <f>SUMIF($L$4:$AA$4,"SUBTOTAL",$L$31:$AA$31)</f>
        <v>-4.0827569443463148</v>
      </c>
    </row>
    <row r="32" spans="1:28" ht="11.25" customHeight="1" x14ac:dyDescent="0.25">
      <c r="A32" s="112"/>
      <c r="B32" s="112" t="s">
        <v>78</v>
      </c>
      <c r="C32" s="112" t="s">
        <v>40</v>
      </c>
      <c r="D32" s="23" t="s">
        <v>25</v>
      </c>
      <c r="E32" s="23" t="s">
        <v>25</v>
      </c>
      <c r="F32" s="23" t="s">
        <v>25</v>
      </c>
      <c r="G32" s="22" t="s">
        <v>69</v>
      </c>
      <c r="H32" s="22" t="s">
        <v>63</v>
      </c>
      <c r="I32" s="22">
        <f>'MERCADO TE'!$U$29</f>
        <v>0</v>
      </c>
      <c r="J32" s="15"/>
      <c r="L32" s="20">
        <f>'TE BE'!$L$32*'TE BE'!$L$48</f>
        <v>0</v>
      </c>
      <c r="M32" s="20">
        <f>'TE BE'!$M$32*'TE BE'!$M$48</f>
        <v>0</v>
      </c>
      <c r="N32" s="20">
        <f>'TE BE'!$N$32*'TE BE'!$N$48</f>
        <v>0</v>
      </c>
      <c r="O32" s="20">
        <f>'TE BE'!$O$32*'TE BE'!$O$48</f>
        <v>0</v>
      </c>
      <c r="P32" s="20">
        <f>'TE BE'!$P$32*'TE BE'!$P$48</f>
        <v>0</v>
      </c>
      <c r="Q32" s="20">
        <f>SUM($L$32:$P$32)</f>
        <v>0</v>
      </c>
      <c r="R32" s="20">
        <f>'TE BE'!$R$32*'TE BE'!$R$48</f>
        <v>2.0007694390022999</v>
      </c>
      <c r="S32" s="20">
        <f>SUM($R$32:$R$32)</f>
        <v>2.0007694390022999</v>
      </c>
      <c r="T32" s="20">
        <f>'TE BE'!$T$32*'TE BE'!$T$48</f>
        <v>0</v>
      </c>
      <c r="U32" s="20">
        <f>'TE BE'!$U$32*'TE BE'!$U$48</f>
        <v>0</v>
      </c>
      <c r="V32" s="20">
        <f>'TE BE'!$V$32*'TE BE'!$V$48</f>
        <v>0</v>
      </c>
      <c r="W32" s="20">
        <f>SUM($T$32:$V$32)</f>
        <v>0</v>
      </c>
      <c r="X32" s="20">
        <f>'TE BE'!$AB$32*'TE BE'!$X$48</f>
        <v>-6.0835263833486151</v>
      </c>
      <c r="Y32" s="20">
        <f>SUM($X$32:$X$32)</f>
        <v>-6.0835263833486151</v>
      </c>
      <c r="Z32" s="20">
        <f>'TE BE'!$Z$32*'TE BE'!$Z$48</f>
        <v>0</v>
      </c>
      <c r="AA32" s="20">
        <f>SUM($Z$32:$Z$32)</f>
        <v>0</v>
      </c>
      <c r="AB32" s="20">
        <f>SUMIF($L$4:$AA$4,"SUBTOTAL",$L$32:$AA$32)</f>
        <v>-4.0827569443463148</v>
      </c>
    </row>
    <row r="33" spans="1:28" ht="11.25" customHeight="1" x14ac:dyDescent="0.25">
      <c r="A33" s="112"/>
      <c r="B33" s="112"/>
      <c r="C33" s="112"/>
      <c r="D33" s="23" t="s">
        <v>80</v>
      </c>
      <c r="E33" s="23" t="s">
        <v>25</v>
      </c>
      <c r="F33" s="23" t="s">
        <v>25</v>
      </c>
      <c r="G33" s="22" t="s">
        <v>69</v>
      </c>
      <c r="H33" s="22" t="s">
        <v>63</v>
      </c>
      <c r="I33" s="22">
        <f>'MERCADO TE'!$U$30</f>
        <v>0</v>
      </c>
      <c r="J33" s="15"/>
      <c r="L33" s="20">
        <f>'TE BE'!$L$33*'TE BE'!$L$48</f>
        <v>0</v>
      </c>
      <c r="M33" s="20">
        <f>'TE BE'!$M$33*'TE BE'!$M$48</f>
        <v>0</v>
      </c>
      <c r="N33" s="20">
        <f>'TE BE'!$N$33*'TE BE'!$N$48</f>
        <v>0</v>
      </c>
      <c r="O33" s="20">
        <f>'TE BE'!$O$33*'TE BE'!$O$48</f>
        <v>0</v>
      </c>
      <c r="P33" s="20">
        <f>'TE BE'!$P$33*'TE BE'!$P$48</f>
        <v>0</v>
      </c>
      <c r="Q33" s="20">
        <f>SUM($L$33:$P$33)</f>
        <v>0</v>
      </c>
      <c r="R33" s="20">
        <f>'TE BE'!$R$33*'TE BE'!$R$48</f>
        <v>2.0007694390022999</v>
      </c>
      <c r="S33" s="20">
        <f>SUM($R$33:$R$33)</f>
        <v>2.0007694390022999</v>
      </c>
      <c r="T33" s="20">
        <f>'TE BE'!$T$33*'TE BE'!$T$48</f>
        <v>0</v>
      </c>
      <c r="U33" s="20">
        <f>'TE BE'!$U$33*'TE BE'!$U$48</f>
        <v>0</v>
      </c>
      <c r="V33" s="20">
        <f>'TE BE'!$V$33*'TE BE'!$V$48</f>
        <v>0</v>
      </c>
      <c r="W33" s="20">
        <f>SUM($T$33:$V$33)</f>
        <v>0</v>
      </c>
      <c r="X33" s="20">
        <f>'TE BE'!$AB$33*'TE BE'!$X$48</f>
        <v>-6.0835263833486151</v>
      </c>
      <c r="Y33" s="20">
        <f>SUM($X$33:$X$33)</f>
        <v>-6.0835263833486151</v>
      </c>
      <c r="Z33" s="20">
        <f>'TE BE'!$Z$33*'TE BE'!$Z$48</f>
        <v>0</v>
      </c>
      <c r="AA33" s="20">
        <f>SUM($Z$33:$Z$33)</f>
        <v>0</v>
      </c>
      <c r="AB33" s="20">
        <f>SUMIF($L$4:$AA$4,"SUBTOTAL",$L$33:$AA$33)</f>
        <v>-4.0827569443463148</v>
      </c>
    </row>
    <row r="34" spans="1:28" ht="11.25" customHeight="1" x14ac:dyDescent="0.25">
      <c r="A34" s="112"/>
      <c r="B34" s="112"/>
      <c r="C34" s="112"/>
      <c r="D34" s="23" t="s">
        <v>81</v>
      </c>
      <c r="E34" s="23" t="s">
        <v>25</v>
      </c>
      <c r="F34" s="23" t="s">
        <v>25</v>
      </c>
      <c r="G34" s="22" t="s">
        <v>69</v>
      </c>
      <c r="H34" s="22" t="s">
        <v>63</v>
      </c>
      <c r="I34" s="22">
        <f>'MERCADO TE'!$U$31</f>
        <v>0</v>
      </c>
      <c r="J34" s="15"/>
      <c r="L34" s="20">
        <f>'TE BE'!$L$34*'TE BE'!$L$48</f>
        <v>0</v>
      </c>
      <c r="M34" s="20">
        <f>'TE BE'!$M$34*'TE BE'!$M$48</f>
        <v>0</v>
      </c>
      <c r="N34" s="20">
        <f>'TE BE'!$N$34*'TE BE'!$N$48</f>
        <v>0</v>
      </c>
      <c r="O34" s="20">
        <f>'TE BE'!$O$34*'TE BE'!$O$48</f>
        <v>0</v>
      </c>
      <c r="P34" s="20">
        <f>'TE BE'!$P$34*'TE BE'!$P$48</f>
        <v>0</v>
      </c>
      <c r="Q34" s="20">
        <f>SUM($L$34:$P$34)</f>
        <v>0</v>
      </c>
      <c r="R34" s="20">
        <f>'TE BE'!$R$34*'TE BE'!$R$48</f>
        <v>2.0007694390022999</v>
      </c>
      <c r="S34" s="20">
        <f>SUM($R$34:$R$34)</f>
        <v>2.0007694390022999</v>
      </c>
      <c r="T34" s="20">
        <f>'TE BE'!$T$34*'TE BE'!$T$48</f>
        <v>0</v>
      </c>
      <c r="U34" s="20">
        <f>'TE BE'!$U$34*'TE BE'!$U$48</f>
        <v>0</v>
      </c>
      <c r="V34" s="20">
        <f>'TE BE'!$V$34*'TE BE'!$V$48</f>
        <v>0</v>
      </c>
      <c r="W34" s="20">
        <f>SUM($T$34:$V$34)</f>
        <v>0</v>
      </c>
      <c r="X34" s="20">
        <f>'TE BE'!$AB$34*'TE BE'!$X$48</f>
        <v>-6.0835263833486151</v>
      </c>
      <c r="Y34" s="20">
        <f>SUM($X$34:$X$34)</f>
        <v>-6.0835263833486151</v>
      </c>
      <c r="Z34" s="20">
        <f>'TE BE'!$Z$34*'TE BE'!$Z$48</f>
        <v>0</v>
      </c>
      <c r="AA34" s="20">
        <f>SUM($Z$34:$Z$34)</f>
        <v>0</v>
      </c>
      <c r="AB34" s="20">
        <f>SUMIF($L$4:$AA$4,"SUBTOTAL",$L$34:$AA$34)</f>
        <v>-4.0827569443463148</v>
      </c>
    </row>
    <row r="35" spans="1:28" ht="11.25" customHeight="1" x14ac:dyDescent="0.25">
      <c r="A35" s="112" t="s">
        <v>31</v>
      </c>
      <c r="B35" s="112" t="s">
        <v>62</v>
      </c>
      <c r="C35" s="112" t="s">
        <v>25</v>
      </c>
      <c r="D35" s="112" t="s">
        <v>25</v>
      </c>
      <c r="E35" s="112" t="s">
        <v>25</v>
      </c>
      <c r="F35" s="112" t="s">
        <v>25</v>
      </c>
      <c r="G35" s="22" t="s">
        <v>64</v>
      </c>
      <c r="H35" s="22" t="s">
        <v>63</v>
      </c>
      <c r="I35" s="22">
        <f>'MERCADO TE'!$U$32</f>
        <v>0</v>
      </c>
      <c r="J35" s="15"/>
      <c r="L35" s="20">
        <f>'TE BE'!$L$35*'TE BE'!$L$48</f>
        <v>0</v>
      </c>
      <c r="M35" s="20">
        <f>'TE BE'!$M$35*'TE BE'!$M$48</f>
        <v>0</v>
      </c>
      <c r="N35" s="20">
        <f>'TE BE'!$N$35*'TE BE'!$N$48</f>
        <v>0</v>
      </c>
      <c r="O35" s="20">
        <f>'TE BE'!$O$35*'TE BE'!$O$48</f>
        <v>0</v>
      </c>
      <c r="P35" s="20">
        <f>'TE BE'!$P$35*'TE BE'!$P$48</f>
        <v>0</v>
      </c>
      <c r="Q35" s="20">
        <f>SUM($L$35:$P$35)</f>
        <v>0</v>
      </c>
      <c r="R35" s="20">
        <f>'TE BE'!$R$35*'TE BE'!$R$48</f>
        <v>2.0007694390022999</v>
      </c>
      <c r="S35" s="20">
        <f>SUM($R$35:$R$35)</f>
        <v>2.0007694390022999</v>
      </c>
      <c r="T35" s="20">
        <f>'TE BE'!$T$35*'TE BE'!$T$48</f>
        <v>0</v>
      </c>
      <c r="U35" s="20">
        <f>'TE BE'!$U$35*'TE BE'!$U$48</f>
        <v>0</v>
      </c>
      <c r="V35" s="20">
        <f>'TE BE'!$V$35*'TE BE'!$V$48</f>
        <v>0</v>
      </c>
      <c r="W35" s="20">
        <f>SUM($T$35:$V$35)</f>
        <v>0</v>
      </c>
      <c r="X35" s="20">
        <f>'TE BE'!$AB$35*'TE BE'!$X$48</f>
        <v>-6.0835263833486151</v>
      </c>
      <c r="Y35" s="20">
        <f>SUM($X$35:$X$35)</f>
        <v>-6.0835263833486151</v>
      </c>
      <c r="Z35" s="20">
        <f>'TE BE'!$Z$35*'TE BE'!$Z$48</f>
        <v>0</v>
      </c>
      <c r="AA35" s="20">
        <f>SUM($Z$35:$Z$35)</f>
        <v>0</v>
      </c>
      <c r="AB35" s="20">
        <f>SUMIF($L$4:$AA$4,"SUBTOTAL",$L$35:$AA$35)</f>
        <v>-4.0827569443463148</v>
      </c>
    </row>
    <row r="36" spans="1:28" ht="11.25" customHeight="1" x14ac:dyDescent="0.25">
      <c r="A36" s="112"/>
      <c r="B36" s="112"/>
      <c r="C36" s="112"/>
      <c r="D36" s="112"/>
      <c r="E36" s="112"/>
      <c r="F36" s="112"/>
      <c r="G36" s="22" t="s">
        <v>75</v>
      </c>
      <c r="H36" s="22" t="s">
        <v>63</v>
      </c>
      <c r="I36" s="22">
        <f>'MERCADO TE'!$U$33</f>
        <v>0</v>
      </c>
      <c r="J36" s="15"/>
      <c r="L36" s="20">
        <f>'TE BE'!$L$36*'TE BE'!$L$48</f>
        <v>0</v>
      </c>
      <c r="M36" s="20">
        <f>'TE BE'!$M$36*'TE BE'!$M$48</f>
        <v>0</v>
      </c>
      <c r="N36" s="20">
        <f>'TE BE'!$N$36*'TE BE'!$N$48</f>
        <v>0</v>
      </c>
      <c r="O36" s="20">
        <f>'TE BE'!$O$36*'TE BE'!$O$48</f>
        <v>0</v>
      </c>
      <c r="P36" s="20">
        <f>'TE BE'!$P$36*'TE BE'!$P$48</f>
        <v>0</v>
      </c>
      <c r="Q36" s="20">
        <f>SUM($L$36:$P$36)</f>
        <v>0</v>
      </c>
      <c r="R36" s="20">
        <f>'TE BE'!$R$36*'TE BE'!$R$48</f>
        <v>2.0007694390022999</v>
      </c>
      <c r="S36" s="20">
        <f>SUM($R$36:$R$36)</f>
        <v>2.0007694390022999</v>
      </c>
      <c r="T36" s="20">
        <f>'TE BE'!$T$36*'TE BE'!$T$48</f>
        <v>0</v>
      </c>
      <c r="U36" s="20">
        <f>'TE BE'!$U$36*'TE BE'!$U$48</f>
        <v>0</v>
      </c>
      <c r="V36" s="20">
        <f>'TE BE'!$V$36*'TE BE'!$V$48</f>
        <v>0</v>
      </c>
      <c r="W36" s="20">
        <f>SUM($T$36:$V$36)</f>
        <v>0</v>
      </c>
      <c r="X36" s="20">
        <f>'TE BE'!$AB$36*'TE BE'!$X$48</f>
        <v>-6.0835263833486151</v>
      </c>
      <c r="Y36" s="20">
        <f>SUM($X$36:$X$36)</f>
        <v>-6.0835263833486151</v>
      </c>
      <c r="Z36" s="20">
        <f>'TE BE'!$Z$36*'TE BE'!$Z$48</f>
        <v>0</v>
      </c>
      <c r="AA36" s="20">
        <f>SUM($Z$36:$Z$36)</f>
        <v>0</v>
      </c>
      <c r="AB36" s="20">
        <f>SUMIF($L$4:$AA$4,"SUBTOTAL",$L$36:$AA$36)</f>
        <v>-4.0827569443463148</v>
      </c>
    </row>
    <row r="37" spans="1:28" ht="11.25" customHeight="1" x14ac:dyDescent="0.25">
      <c r="A37" s="112"/>
      <c r="B37" s="112"/>
      <c r="C37" s="112"/>
      <c r="D37" s="112"/>
      <c r="E37" s="112"/>
      <c r="F37" s="112"/>
      <c r="G37" s="22" t="s">
        <v>65</v>
      </c>
      <c r="H37" s="22" t="s">
        <v>63</v>
      </c>
      <c r="I37" s="22">
        <f>'MERCADO TE'!$U$34</f>
        <v>0</v>
      </c>
      <c r="J37" s="15"/>
      <c r="L37" s="20">
        <f>'TE BE'!$L$37*'TE BE'!$L$48</f>
        <v>0</v>
      </c>
      <c r="M37" s="20">
        <f>'TE BE'!$M$37*'TE BE'!$M$48</f>
        <v>0</v>
      </c>
      <c r="N37" s="20">
        <f>'TE BE'!$N$37*'TE BE'!$N$48</f>
        <v>0</v>
      </c>
      <c r="O37" s="20">
        <f>'TE BE'!$O$37*'TE BE'!$O$48</f>
        <v>0</v>
      </c>
      <c r="P37" s="20">
        <f>'TE BE'!$P$37*'TE BE'!$P$48</f>
        <v>0</v>
      </c>
      <c r="Q37" s="20">
        <f>SUM($L$37:$P$37)</f>
        <v>0</v>
      </c>
      <c r="R37" s="20">
        <f>'TE BE'!$R$37*'TE BE'!$R$48</f>
        <v>2.0007694390022999</v>
      </c>
      <c r="S37" s="20">
        <f>SUM($R$37:$R$37)</f>
        <v>2.0007694390022999</v>
      </c>
      <c r="T37" s="20">
        <f>'TE BE'!$T$37*'TE BE'!$T$48</f>
        <v>0</v>
      </c>
      <c r="U37" s="20">
        <f>'TE BE'!$U$37*'TE BE'!$U$48</f>
        <v>0</v>
      </c>
      <c r="V37" s="20">
        <f>'TE BE'!$V$37*'TE BE'!$V$48</f>
        <v>0</v>
      </c>
      <c r="W37" s="20">
        <f>SUM($T$37:$V$37)</f>
        <v>0</v>
      </c>
      <c r="X37" s="20">
        <f>'TE BE'!$AB$37*'TE BE'!$X$48</f>
        <v>-6.0835263833486151</v>
      </c>
      <c r="Y37" s="20">
        <f>SUM($X$37:$X$37)</f>
        <v>-6.0835263833486151</v>
      </c>
      <c r="Z37" s="20">
        <f>'TE BE'!$Z$37*'TE BE'!$Z$48</f>
        <v>0</v>
      </c>
      <c r="AA37" s="20">
        <f>SUM($Z$37:$Z$37)</f>
        <v>0</v>
      </c>
      <c r="AB37" s="20">
        <f>SUMIF($L$4:$AA$4,"SUBTOTAL",$L$37:$AA$37)</f>
        <v>-4.0827569443463148</v>
      </c>
    </row>
    <row r="38" spans="1:28" ht="11.25" customHeight="1" x14ac:dyDescent="0.25">
      <c r="A38" s="112"/>
      <c r="B38" s="23" t="s">
        <v>76</v>
      </c>
      <c r="C38" s="23" t="s">
        <v>25</v>
      </c>
      <c r="D38" s="23" t="s">
        <v>25</v>
      </c>
      <c r="E38" s="23" t="s">
        <v>25</v>
      </c>
      <c r="F38" s="23" t="s">
        <v>25</v>
      </c>
      <c r="G38" s="22" t="s">
        <v>69</v>
      </c>
      <c r="H38" s="22" t="s">
        <v>63</v>
      </c>
      <c r="I38" s="22">
        <f>'MERCADO TE'!$U$35</f>
        <v>1376.9240000000002</v>
      </c>
      <c r="J38" s="15"/>
      <c r="L38" s="20">
        <f>'TE BE'!$L$38*'TE BE'!$L$48</f>
        <v>0</v>
      </c>
      <c r="M38" s="20">
        <f>'TE BE'!$M$38*'TE BE'!$M$48</f>
        <v>0</v>
      </c>
      <c r="N38" s="20">
        <f>'TE BE'!$N$38*'TE BE'!$N$48</f>
        <v>0</v>
      </c>
      <c r="O38" s="20">
        <f>'TE BE'!$O$38*'TE BE'!$O$48</f>
        <v>0</v>
      </c>
      <c r="P38" s="20">
        <f>'TE BE'!$P$38*'TE BE'!$P$48</f>
        <v>0</v>
      </c>
      <c r="Q38" s="20">
        <f>SUM($L$38:$P$38)</f>
        <v>0</v>
      </c>
      <c r="R38" s="20">
        <f>'TE BE'!$R$38*'TE BE'!$R$48</f>
        <v>2.0007694390022999</v>
      </c>
      <c r="S38" s="20">
        <f>SUM($R$38:$R$38)</f>
        <v>2.0007694390022999</v>
      </c>
      <c r="T38" s="20">
        <f>'TE BE'!$T$38*'TE BE'!$T$48</f>
        <v>0</v>
      </c>
      <c r="U38" s="20">
        <f>'TE BE'!$U$38*'TE BE'!$U$48</f>
        <v>0</v>
      </c>
      <c r="V38" s="20">
        <f>'TE BE'!$V$38*'TE BE'!$V$48</f>
        <v>0</v>
      </c>
      <c r="W38" s="20">
        <f>SUM($T$38:$V$38)</f>
        <v>0</v>
      </c>
      <c r="X38" s="20">
        <f>'TE BE'!$AB$38*'TE BE'!$X$48</f>
        <v>-6.0835263833486151</v>
      </c>
      <c r="Y38" s="20">
        <f>SUM($X$38:$X$38)</f>
        <v>-6.0835263833486151</v>
      </c>
      <c r="Z38" s="20">
        <f>'TE BE'!$Z$38*'TE BE'!$Z$48</f>
        <v>0</v>
      </c>
      <c r="AA38" s="20">
        <f>SUM($Z$38:$Z$38)</f>
        <v>0</v>
      </c>
      <c r="AB38" s="20">
        <f>SUMIF($L$4:$AA$4,"SUBTOTAL",$L$38:$AA$38)</f>
        <v>-4.0827569443463148</v>
      </c>
    </row>
    <row r="39" spans="1:28" ht="11.25" customHeight="1" x14ac:dyDescent="0.25">
      <c r="A39" s="112"/>
      <c r="B39" s="23" t="s">
        <v>78</v>
      </c>
      <c r="C39" s="23" t="s">
        <v>25</v>
      </c>
      <c r="D39" s="23" t="s">
        <v>25</v>
      </c>
      <c r="E39" s="23" t="s">
        <v>25</v>
      </c>
      <c r="F39" s="23" t="s">
        <v>25</v>
      </c>
      <c r="G39" s="22" t="s">
        <v>69</v>
      </c>
      <c r="H39" s="22" t="s">
        <v>63</v>
      </c>
      <c r="I39" s="22">
        <f>'MERCADO TE'!$U$36</f>
        <v>0</v>
      </c>
      <c r="J39" s="15"/>
      <c r="L39" s="20">
        <f>'TE BE'!$L$39*'TE BE'!$L$48</f>
        <v>0</v>
      </c>
      <c r="M39" s="20">
        <f>'TE BE'!$M$39*'TE BE'!$M$48</f>
        <v>0</v>
      </c>
      <c r="N39" s="20">
        <f>'TE BE'!$N$39*'TE BE'!$N$48</f>
        <v>0</v>
      </c>
      <c r="O39" s="20">
        <f>'TE BE'!$O$39*'TE BE'!$O$48</f>
        <v>0</v>
      </c>
      <c r="P39" s="20">
        <f>'TE BE'!$P$39*'TE BE'!$P$48</f>
        <v>0</v>
      </c>
      <c r="Q39" s="20">
        <f>SUM($L$39:$P$39)</f>
        <v>0</v>
      </c>
      <c r="R39" s="20">
        <f>'TE BE'!$R$39*'TE BE'!$R$48</f>
        <v>2.0007694390022999</v>
      </c>
      <c r="S39" s="20">
        <f>SUM($R$39:$R$39)</f>
        <v>2.0007694390022999</v>
      </c>
      <c r="T39" s="20">
        <f>'TE BE'!$T$39*'TE BE'!$T$48</f>
        <v>0</v>
      </c>
      <c r="U39" s="20">
        <f>'TE BE'!$U$39*'TE BE'!$U$48</f>
        <v>0</v>
      </c>
      <c r="V39" s="20">
        <f>'TE BE'!$V$39*'TE BE'!$V$48</f>
        <v>0</v>
      </c>
      <c r="W39" s="20">
        <f>SUM($T$39:$V$39)</f>
        <v>0</v>
      </c>
      <c r="X39" s="20">
        <f>'TE BE'!$AB$39*'TE BE'!$X$48</f>
        <v>-6.0835263833486151</v>
      </c>
      <c r="Y39" s="20">
        <f>SUM($X$39:$X$39)</f>
        <v>-6.0835263833486151</v>
      </c>
      <c r="Z39" s="20">
        <f>'TE BE'!$Z$39*'TE BE'!$Z$48</f>
        <v>0</v>
      </c>
      <c r="AA39" s="20">
        <f>SUM($Z$39:$Z$39)</f>
        <v>0</v>
      </c>
      <c r="AB39" s="20">
        <f>SUMIF($L$4:$AA$4,"SUBTOTAL",$L$39:$AA$39)</f>
        <v>-4.0827569443463148</v>
      </c>
    </row>
    <row r="40" spans="1:28" ht="11.25" customHeight="1" x14ac:dyDescent="0.25">
      <c r="A40" s="112" t="s">
        <v>42</v>
      </c>
      <c r="B40" s="112" t="s">
        <v>76</v>
      </c>
      <c r="C40" s="112" t="s">
        <v>43</v>
      </c>
      <c r="D40" s="23" t="s">
        <v>82</v>
      </c>
      <c r="E40" s="23" t="s">
        <v>25</v>
      </c>
      <c r="F40" s="23" t="s">
        <v>25</v>
      </c>
      <c r="G40" s="22" t="s">
        <v>69</v>
      </c>
      <c r="H40" s="22" t="s">
        <v>63</v>
      </c>
      <c r="I40" s="22">
        <f>'MERCADO TE'!$U$37</f>
        <v>0</v>
      </c>
      <c r="J40" s="15"/>
      <c r="L40" s="20">
        <f>'TE BE'!$L$40*'TE BE'!$L$48</f>
        <v>0</v>
      </c>
      <c r="M40" s="20">
        <f>'TE BE'!$M$40*'TE BE'!$M$48</f>
        <v>0</v>
      </c>
      <c r="N40" s="20">
        <f>'TE BE'!$N$40*'TE BE'!$N$48</f>
        <v>0</v>
      </c>
      <c r="O40" s="20">
        <f>'TE BE'!$O$40*'TE BE'!$O$48</f>
        <v>0</v>
      </c>
      <c r="P40" s="20">
        <f>'TE BE'!$P$40*'TE BE'!$P$48</f>
        <v>0</v>
      </c>
      <c r="Q40" s="20">
        <f>SUM($L$40:$P$40)</f>
        <v>0</v>
      </c>
      <c r="R40" s="20">
        <f>'TE BE'!$R$40*'TE BE'!$R$48</f>
        <v>1.100423191451265</v>
      </c>
      <c r="S40" s="20">
        <f>SUM($R$40:$R$40)</f>
        <v>1.100423191451265</v>
      </c>
      <c r="T40" s="20">
        <f>'TE BE'!$T$40*'TE BE'!$T$48</f>
        <v>0</v>
      </c>
      <c r="U40" s="20">
        <f>'TE BE'!$U$40*'TE BE'!$U$48</f>
        <v>0</v>
      </c>
      <c r="V40" s="20">
        <f>'TE BE'!$V$40*'TE BE'!$V$48</f>
        <v>0</v>
      </c>
      <c r="W40" s="20">
        <f>SUM($T$40:$V$40)</f>
        <v>0</v>
      </c>
      <c r="X40" s="20">
        <f>'TE BE'!$AB$40*'TE BE'!$X$48</f>
        <v>-3.3459395108417382</v>
      </c>
      <c r="Y40" s="20">
        <f>SUM($X$40:$X$40)</f>
        <v>-3.3459395108417382</v>
      </c>
      <c r="Z40" s="20">
        <f>'TE BE'!$Z$40*'TE BE'!$Z$48</f>
        <v>0</v>
      </c>
      <c r="AA40" s="20">
        <f>SUM($Z$40:$Z$40)</f>
        <v>0</v>
      </c>
      <c r="AB40" s="20">
        <f>SUMIF($L$4:$AA$4,"SUBTOTAL",$L$40:$AA$40)</f>
        <v>-2.2455163193904735</v>
      </c>
    </row>
    <row r="41" spans="1:28" ht="11.25" customHeight="1" x14ac:dyDescent="0.25">
      <c r="A41" s="112"/>
      <c r="B41" s="112"/>
      <c r="C41" s="112"/>
      <c r="D41" s="22" t="s">
        <v>44</v>
      </c>
      <c r="E41" s="22" t="s">
        <v>25</v>
      </c>
      <c r="F41" s="22" t="s">
        <v>25</v>
      </c>
      <c r="G41" s="22" t="s">
        <v>69</v>
      </c>
      <c r="H41" s="22" t="s">
        <v>63</v>
      </c>
      <c r="I41" s="22">
        <f>'MERCADO TE'!$U$38</f>
        <v>547.28399999999988</v>
      </c>
      <c r="J41" s="15"/>
      <c r="L41" s="20">
        <f>'TE BE'!$L$41*'TE BE'!$L$48</f>
        <v>0</v>
      </c>
      <c r="M41" s="20">
        <f>'TE BE'!$M$41*'TE BE'!$M$48</f>
        <v>0</v>
      </c>
      <c r="N41" s="20">
        <f>'TE BE'!$N$41*'TE BE'!$N$48</f>
        <v>0</v>
      </c>
      <c r="O41" s="20">
        <f>'TE BE'!$O$41*'TE BE'!$O$48</f>
        <v>0</v>
      </c>
      <c r="P41" s="20">
        <f>'TE BE'!$P$41*'TE BE'!$P$48</f>
        <v>0</v>
      </c>
      <c r="Q41" s="20">
        <f>SUM($L$41:$P$41)</f>
        <v>0</v>
      </c>
      <c r="R41" s="20">
        <f>'TE BE'!$R$41*'TE BE'!$R$48</f>
        <v>1.2004616634013798</v>
      </c>
      <c r="S41" s="20">
        <f>SUM($R$41:$R$41)</f>
        <v>1.2004616634013798</v>
      </c>
      <c r="T41" s="20">
        <f>'TE BE'!$T$41*'TE BE'!$T$48</f>
        <v>0</v>
      </c>
      <c r="U41" s="20">
        <f>'TE BE'!$U$41*'TE BE'!$U$48</f>
        <v>0</v>
      </c>
      <c r="V41" s="20">
        <f>'TE BE'!$V$41*'TE BE'!$V$48</f>
        <v>0</v>
      </c>
      <c r="W41" s="20">
        <f>SUM($T$41:$V$41)</f>
        <v>0</v>
      </c>
      <c r="X41" s="20">
        <f>'TE BE'!$AB$41*'TE BE'!$X$48</f>
        <v>-3.6501158300091685</v>
      </c>
      <c r="Y41" s="20">
        <f>SUM($X$41:$X$41)</f>
        <v>-3.6501158300091685</v>
      </c>
      <c r="Z41" s="20">
        <f>'TE BE'!$Z$41*'TE BE'!$Z$48</f>
        <v>0</v>
      </c>
      <c r="AA41" s="20">
        <f>SUM($Z$41:$Z$41)</f>
        <v>0</v>
      </c>
      <c r="AB41" s="20">
        <f>SUMIF($L$4:$AA$4,"SUBTOTAL",$L$41:$AA$41)</f>
        <v>-2.4496541666077887</v>
      </c>
    </row>
    <row r="43" spans="1:28" ht="11.25" customHeight="1" x14ac:dyDescent="0.25">
      <c r="K43" s="25" t="s">
        <v>445</v>
      </c>
      <c r="L43" s="20">
        <f t="shared" ref="L43:AB43" si="0">SUMPRODUCT($I$5:$I$41,L$5:L$41)</f>
        <v>0</v>
      </c>
      <c r="M43" s="20">
        <f t="shared" si="0"/>
        <v>0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0</v>
      </c>
      <c r="R43" s="20">
        <f t="shared" si="0"/>
        <v>112997.05225141399</v>
      </c>
      <c r="S43" s="20">
        <f t="shared" si="0"/>
        <v>112997.05225141399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-343578.09311346075</v>
      </c>
      <c r="Y43" s="20">
        <f t="shared" si="0"/>
        <v>-343578.09311346075</v>
      </c>
      <c r="Z43" s="20">
        <f t="shared" si="0"/>
        <v>0</v>
      </c>
      <c r="AA43" s="20">
        <f t="shared" si="0"/>
        <v>0</v>
      </c>
      <c r="AB43" s="20">
        <f t="shared" si="0"/>
        <v>-230581.04086204682</v>
      </c>
    </row>
    <row r="44" spans="1:28" ht="11.25" customHeight="1" x14ac:dyDescent="0.25">
      <c r="K44" s="25" t="s">
        <v>364</v>
      </c>
      <c r="L44" s="20">
        <f>CUSTOS!$D$30</f>
        <v>0</v>
      </c>
      <c r="M44" s="20">
        <f>CUSTOS!$D$31</f>
        <v>0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0</v>
      </c>
      <c r="R44" s="20">
        <f>CUSTOS!$D$36</f>
        <v>13779995.040996935</v>
      </c>
      <c r="S44" s="20">
        <f>CUSTOS!$D$37</f>
        <v>13779995.040996935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13779995.040996935</v>
      </c>
    </row>
    <row r="45" spans="1:28" ht="11.25" customHeight="1" x14ac:dyDescent="0.25">
      <c r="K45" s="25" t="s">
        <v>365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112997.05225141399</v>
      </c>
      <c r="S45" s="20">
        <f>CUSTOS!$E$37</f>
        <v>112997.05225141399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-343578.09311346081</v>
      </c>
      <c r="Y45" s="20">
        <f>CUSTOS!$E$43</f>
        <v>-343578.09311346081</v>
      </c>
      <c r="Z45" s="20">
        <f>CUSTOS!$E$44</f>
        <v>0</v>
      </c>
      <c r="AA45" s="20">
        <f>CUSTOS!$E$45</f>
        <v>0</v>
      </c>
      <c r="AB45" s="20">
        <f>CUSTOS!$E$46</f>
        <v>-230581.04086204682</v>
      </c>
    </row>
    <row r="46" spans="1:28" ht="11.25" customHeight="1" x14ac:dyDescent="0.25">
      <c r="K46" s="25" t="s">
        <v>366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25">
      <c r="K47" s="25" t="s">
        <v>446</v>
      </c>
      <c r="L47" s="20">
        <f>'TR TE'!$L$47*L48</f>
        <v>0</v>
      </c>
      <c r="M47" s="20">
        <f>'TR TE'!$M$47*M48</f>
        <v>0</v>
      </c>
      <c r="N47" s="20">
        <f>'TR TE'!$N$47*N48</f>
        <v>0</v>
      </c>
      <c r="O47" s="20">
        <f>'TR TE'!$O$47*O48</f>
        <v>0</v>
      </c>
      <c r="P47" s="20">
        <f>'TR TE'!$P$47*P48</f>
        <v>0</v>
      </c>
      <c r="Q47" s="20"/>
      <c r="R47" s="20">
        <f>'TR TE'!$R$47*R48</f>
        <v>0</v>
      </c>
      <c r="S47" s="20"/>
      <c r="T47" s="20">
        <f>'TR TE'!$T$47*T48</f>
        <v>0</v>
      </c>
      <c r="U47" s="20">
        <f>'TR TE'!$U$47*U48</f>
        <v>0</v>
      </c>
      <c r="V47" s="20">
        <f>'TR TE'!$V$47*V48</f>
        <v>0</v>
      </c>
      <c r="W47" s="20"/>
      <c r="X47" s="20"/>
      <c r="Y47" s="20"/>
      <c r="Z47" s="20">
        <f>'TR TE'!$Z$47*Z48</f>
        <v>0</v>
      </c>
      <c r="AA47" s="20"/>
      <c r="AB47" s="20"/>
    </row>
    <row r="48" spans="1:28" ht="11.25" customHeight="1" x14ac:dyDescent="0.25">
      <c r="K48" s="25" t="s">
        <v>441</v>
      </c>
      <c r="L48" s="20">
        <f>IF(L44&lt;&gt;0,L46/L44,0)</f>
        <v>0</v>
      </c>
      <c r="M48" s="20">
        <f>IF(M44&lt;&gt;0,M46/M44,0)</f>
        <v>0</v>
      </c>
      <c r="N48" s="20">
        <f>IF(N44&lt;&gt;0,N46/N44,0)</f>
        <v>0</v>
      </c>
      <c r="O48" s="20">
        <f>IF(O44&lt;&gt;0,O46/O44,0)</f>
        <v>0</v>
      </c>
      <c r="P48" s="20">
        <f>IF(P44&lt;&gt;0,P46/P44,0)</f>
        <v>0</v>
      </c>
      <c r="Q48" s="20"/>
      <c r="R48" s="20">
        <f>IF(R44&lt;&gt;0,R46/R44,0)</f>
        <v>0</v>
      </c>
      <c r="S48" s="20"/>
      <c r="T48" s="20">
        <f>IF(T44&lt;&gt;0,T46/T44,0)</f>
        <v>0</v>
      </c>
      <c r="U48" s="20">
        <f>IF(U44&lt;&gt;0,U46/U44,0)</f>
        <v>0</v>
      </c>
      <c r="V48" s="20">
        <f>IF(V44&lt;&gt;0,V46/V44,0)</f>
        <v>0</v>
      </c>
      <c r="W48" s="20"/>
      <c r="X48" s="20">
        <f>IF($AB44&lt;&gt;0,X46/($AB44-SUM('TR TE'!$L47:'TR TE'!$AA47)*0),0)</f>
        <v>0</v>
      </c>
      <c r="Y48" s="20"/>
      <c r="Z48" s="20">
        <f>IF(Z44&lt;&gt;0,Z46/Z44,0)</f>
        <v>0</v>
      </c>
      <c r="AA48" s="20"/>
      <c r="AB48" s="20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552" priority="33" operator="notEqual">
      <formula>$L$45</formula>
    </cfRule>
    <cfRule type="cellIs" dxfId="551" priority="34" operator="equal">
      <formula>$L$45</formula>
    </cfRule>
  </conditionalFormatting>
  <conditionalFormatting sqref="M43">
    <cfRule type="cellIs" dxfId="550" priority="31" operator="notEqual">
      <formula>$M$45</formula>
    </cfRule>
    <cfRule type="cellIs" dxfId="549" priority="32" operator="equal">
      <formula>$M$45</formula>
    </cfRule>
  </conditionalFormatting>
  <conditionalFormatting sqref="N43">
    <cfRule type="cellIs" dxfId="548" priority="29" operator="notEqual">
      <formula>$N$45</formula>
    </cfRule>
    <cfRule type="cellIs" dxfId="547" priority="30" operator="equal">
      <formula>$N$45</formula>
    </cfRule>
  </conditionalFormatting>
  <conditionalFormatting sqref="O43">
    <cfRule type="cellIs" dxfId="546" priority="27" operator="notEqual">
      <formula>$O$45</formula>
    </cfRule>
    <cfRule type="cellIs" dxfId="545" priority="28" operator="equal">
      <formula>$O$45</formula>
    </cfRule>
  </conditionalFormatting>
  <conditionalFormatting sqref="P43">
    <cfRule type="cellIs" dxfId="544" priority="25" operator="notEqual">
      <formula>$P$45</formula>
    </cfRule>
    <cfRule type="cellIs" dxfId="543" priority="26" operator="equal">
      <formula>$P$45</formula>
    </cfRule>
  </conditionalFormatting>
  <conditionalFormatting sqref="Q43">
    <cfRule type="cellIs" dxfId="542" priority="23" operator="notEqual">
      <formula>$Q$45</formula>
    </cfRule>
    <cfRule type="cellIs" dxfId="541" priority="24" operator="equal">
      <formula>$Q$45</formula>
    </cfRule>
  </conditionalFormatting>
  <conditionalFormatting sqref="R43">
    <cfRule type="cellIs" dxfId="540" priority="21" operator="notEqual">
      <formula>$R$45</formula>
    </cfRule>
    <cfRule type="cellIs" dxfId="539" priority="22" operator="equal">
      <formula>$R$45</formula>
    </cfRule>
  </conditionalFormatting>
  <conditionalFormatting sqref="S43">
    <cfRule type="cellIs" dxfId="538" priority="19" operator="notEqual">
      <formula>$S$45</formula>
    </cfRule>
    <cfRule type="cellIs" dxfId="537" priority="20" operator="equal">
      <formula>$S$45</formula>
    </cfRule>
  </conditionalFormatting>
  <conditionalFormatting sqref="T43">
    <cfRule type="cellIs" dxfId="536" priority="17" operator="notEqual">
      <formula>$T$45</formula>
    </cfRule>
    <cfRule type="cellIs" dxfId="535" priority="18" operator="equal">
      <formula>$T$45</formula>
    </cfRule>
  </conditionalFormatting>
  <conditionalFormatting sqref="U43">
    <cfRule type="cellIs" dxfId="534" priority="15" operator="notEqual">
      <formula>$U$45</formula>
    </cfRule>
    <cfRule type="cellIs" dxfId="533" priority="16" operator="equal">
      <formula>$U$45</formula>
    </cfRule>
  </conditionalFormatting>
  <conditionalFormatting sqref="V43">
    <cfRule type="cellIs" dxfId="532" priority="13" operator="notEqual">
      <formula>$V$45</formula>
    </cfRule>
    <cfRule type="cellIs" dxfId="531" priority="14" operator="equal">
      <formula>$V$45</formula>
    </cfRule>
  </conditionalFormatting>
  <conditionalFormatting sqref="W43">
    <cfRule type="cellIs" dxfId="530" priority="11" operator="notEqual">
      <formula>$W$45</formula>
    </cfRule>
    <cfRule type="cellIs" dxfId="529" priority="12" operator="equal">
      <formula>$W$45</formula>
    </cfRule>
  </conditionalFormatting>
  <conditionalFormatting sqref="X43">
    <cfRule type="cellIs" dxfId="528" priority="9" operator="notEqual">
      <formula>$X$45</formula>
    </cfRule>
    <cfRule type="cellIs" dxfId="527" priority="10" operator="equal">
      <formula>$X$45</formula>
    </cfRule>
  </conditionalFormatting>
  <conditionalFormatting sqref="Y43">
    <cfRule type="cellIs" dxfId="526" priority="7" operator="notEqual">
      <formula>$Y$45</formula>
    </cfRule>
    <cfRule type="cellIs" dxfId="525" priority="8" operator="equal">
      <formula>$Y$45</formula>
    </cfRule>
  </conditionalFormatting>
  <conditionalFormatting sqref="Z43">
    <cfRule type="cellIs" dxfId="524" priority="5" operator="notEqual">
      <formula>$Z$45</formula>
    </cfRule>
    <cfRule type="cellIs" dxfId="523" priority="6" operator="equal">
      <formula>$Z$45</formula>
    </cfRule>
  </conditionalFormatting>
  <conditionalFormatting sqref="AA43">
    <cfRule type="cellIs" dxfId="522" priority="3" operator="notEqual">
      <formula>$AA$45</formula>
    </cfRule>
    <cfRule type="cellIs" dxfId="521" priority="4" operator="equal">
      <formula>$AA$45</formula>
    </cfRule>
  </conditionalFormatting>
  <conditionalFormatting sqref="AB43">
    <cfRule type="cellIs" dxfId="520" priority="1" operator="notEqual">
      <formula>$AB$45</formula>
    </cfRule>
    <cfRule type="cellIs" dxfId="519" priority="2" operator="equal">
      <formula>$AB$45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EE9-9769-4DA2-9957-4F42417127FA}">
  <dimension ref="A1:AB49"/>
  <sheetViews>
    <sheetView showGridLines="0" topLeftCell="R25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.85546875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.85546875" style="9" bestFit="1" customWidth="1"/>
    <col min="29" max="16384" width="9.140625" style="9"/>
  </cols>
  <sheetData>
    <row r="1" spans="1:28" ht="11.25" customHeight="1" x14ac:dyDescent="0.25">
      <c r="A1" s="113" t="s">
        <v>53</v>
      </c>
      <c r="B1" s="113" t="s">
        <v>54</v>
      </c>
      <c r="C1" s="113" t="s">
        <v>55</v>
      </c>
      <c r="D1" s="113" t="s">
        <v>56</v>
      </c>
      <c r="E1" s="113" t="s">
        <v>57</v>
      </c>
      <c r="F1" s="113" t="s">
        <v>15</v>
      </c>
      <c r="G1" s="113" t="s">
        <v>59</v>
      </c>
      <c r="H1" s="113" t="s">
        <v>60</v>
      </c>
      <c r="I1" s="113" t="s">
        <v>423</v>
      </c>
      <c r="J1" s="98"/>
      <c r="L1" s="114" t="s">
        <v>451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8"/>
      <c r="L2" s="114" t="s">
        <v>350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8"/>
      <c r="L3" s="114" t="s">
        <v>323</v>
      </c>
      <c r="M3" s="114"/>
      <c r="N3" s="114"/>
      <c r="O3" s="114"/>
      <c r="P3" s="114"/>
      <c r="Q3" s="114"/>
      <c r="R3" s="114" t="s">
        <v>354</v>
      </c>
      <c r="S3" s="114"/>
      <c r="T3" s="114" t="s">
        <v>332</v>
      </c>
      <c r="U3" s="114"/>
      <c r="V3" s="114"/>
      <c r="W3" s="114"/>
      <c r="X3" s="114" t="s">
        <v>342</v>
      </c>
      <c r="Y3" s="114"/>
      <c r="Z3" s="114" t="s">
        <v>345</v>
      </c>
      <c r="AA3" s="114"/>
      <c r="AB3" s="114" t="s">
        <v>331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8"/>
      <c r="L4" s="24" t="s">
        <v>325</v>
      </c>
      <c r="M4" s="24" t="s">
        <v>351</v>
      </c>
      <c r="N4" s="24" t="s">
        <v>352</v>
      </c>
      <c r="O4" s="24" t="s">
        <v>411</v>
      </c>
      <c r="P4" s="24" t="s">
        <v>353</v>
      </c>
      <c r="Q4" s="24" t="s">
        <v>331</v>
      </c>
      <c r="R4" s="24" t="s">
        <v>355</v>
      </c>
      <c r="S4" s="24" t="s">
        <v>331</v>
      </c>
      <c r="T4" s="24" t="s">
        <v>356</v>
      </c>
      <c r="U4" s="24" t="s">
        <v>357</v>
      </c>
      <c r="V4" s="24" t="s">
        <v>358</v>
      </c>
      <c r="W4" s="24" t="s">
        <v>331</v>
      </c>
      <c r="X4" s="24" t="s">
        <v>343</v>
      </c>
      <c r="Y4" s="24" t="s">
        <v>331</v>
      </c>
      <c r="Z4" s="24" t="s">
        <v>359</v>
      </c>
      <c r="AA4" s="24" t="s">
        <v>331</v>
      </c>
      <c r="AB4" s="115"/>
    </row>
    <row r="5" spans="1:28" ht="11.25" customHeight="1" x14ac:dyDescent="0.25">
      <c r="A5" s="112" t="s">
        <v>33</v>
      </c>
      <c r="B5" s="112" t="s">
        <v>62</v>
      </c>
      <c r="C5" s="112" t="s">
        <v>25</v>
      </c>
      <c r="D5" s="112" t="s">
        <v>25</v>
      </c>
      <c r="E5" s="112" t="s">
        <v>25</v>
      </c>
      <c r="F5" s="112" t="s">
        <v>25</v>
      </c>
      <c r="G5" s="22" t="s">
        <v>64</v>
      </c>
      <c r="H5" s="22" t="s">
        <v>63</v>
      </c>
      <c r="I5" s="22">
        <f>'MERCADO TE'!$U$2</f>
        <v>4424.8969999999999</v>
      </c>
      <c r="J5" s="15"/>
      <c r="L5" s="20">
        <f>'TE BE'!$L$5*'TE BF'!$L$48</f>
        <v>0</v>
      </c>
      <c r="M5" s="20">
        <f>'TE BE'!$M$5*'TE BF'!$M$48</f>
        <v>0</v>
      </c>
      <c r="N5" s="20">
        <f>'TE BE'!$N$5*'TE BF'!$N$48</f>
        <v>0</v>
      </c>
      <c r="O5" s="20">
        <f>'TE BE'!$O$5*'TE BF'!$O$48</f>
        <v>0</v>
      </c>
      <c r="P5" s="20">
        <f>'TE BE'!$P$5*'TE BF'!$P$48</f>
        <v>0</v>
      </c>
      <c r="Q5" s="20">
        <f>SUM($L$5:$P$5)</f>
        <v>0</v>
      </c>
      <c r="R5" s="20">
        <f>'TE BE'!$R$5*'TE BF'!$R$48</f>
        <v>0</v>
      </c>
      <c r="S5" s="20">
        <f>SUM($R$5:$R$5)</f>
        <v>0</v>
      </c>
      <c r="T5" s="20">
        <f>'TE BE'!$T$5*'TE BF'!$T$48</f>
        <v>0</v>
      </c>
      <c r="U5" s="20">
        <f>'TE BE'!$U$5*'TE BF'!$U$48</f>
        <v>0</v>
      </c>
      <c r="V5" s="20">
        <f>'TE BE'!$V$5*'TE BF'!$V$48</f>
        <v>0</v>
      </c>
      <c r="W5" s="20">
        <f>SUM($T$5:$V$5)</f>
        <v>0</v>
      </c>
      <c r="X5" s="20">
        <f>'TE BE'!$AB$5*'TE BF'!$X$48</f>
        <v>0</v>
      </c>
      <c r="Y5" s="20">
        <f>SUM($X$5:$X$5)</f>
        <v>0</v>
      </c>
      <c r="Z5" s="20">
        <f>'TE BE'!$Z$5*'TE BF'!$Z$48</f>
        <v>0</v>
      </c>
      <c r="AA5" s="20">
        <f>SUM($Z$5:$Z$5)</f>
        <v>0</v>
      </c>
      <c r="AB5" s="20">
        <f>SUMIF($L$4:$AA$4,"SUBTOTAL",$L$5:$AA$5)</f>
        <v>0</v>
      </c>
    </row>
    <row r="6" spans="1:28" ht="11.25" customHeight="1" x14ac:dyDescent="0.25">
      <c r="A6" s="112"/>
      <c r="B6" s="112"/>
      <c r="C6" s="112"/>
      <c r="D6" s="112"/>
      <c r="E6" s="112"/>
      <c r="F6" s="112"/>
      <c r="G6" s="22" t="s">
        <v>65</v>
      </c>
      <c r="H6" s="22" t="s">
        <v>63</v>
      </c>
      <c r="I6" s="22">
        <f>'MERCADO TE'!$U$3</f>
        <v>46701.057000000001</v>
      </c>
      <c r="J6" s="15"/>
      <c r="L6" s="20">
        <f>'TE BE'!$L$6*'TE BF'!$L$48</f>
        <v>0</v>
      </c>
      <c r="M6" s="20">
        <f>'TE BE'!$M$6*'TE BF'!$M$48</f>
        <v>0</v>
      </c>
      <c r="N6" s="20">
        <f>'TE BE'!$N$6*'TE BF'!$N$48</f>
        <v>0</v>
      </c>
      <c r="O6" s="20">
        <f>'TE BE'!$O$6*'TE BF'!$O$48</f>
        <v>0</v>
      </c>
      <c r="P6" s="20">
        <f>'TE BE'!$P$6*'TE BF'!$P$48</f>
        <v>0</v>
      </c>
      <c r="Q6" s="20">
        <f>SUM($L$6:$P$6)</f>
        <v>0</v>
      </c>
      <c r="R6" s="20">
        <f>'TE BE'!$R$6*'TE BF'!$R$48</f>
        <v>0</v>
      </c>
      <c r="S6" s="20">
        <f>SUM($R$6:$R$6)</f>
        <v>0</v>
      </c>
      <c r="T6" s="20">
        <f>'TE BE'!$T$6*'TE BF'!$T$48</f>
        <v>0</v>
      </c>
      <c r="U6" s="20">
        <f>'TE BE'!$U$6*'TE BF'!$U$48</f>
        <v>0</v>
      </c>
      <c r="V6" s="20">
        <f>'TE BE'!$V$6*'TE BF'!$V$48</f>
        <v>0</v>
      </c>
      <c r="W6" s="20">
        <f>SUM($T$6:$V$6)</f>
        <v>0</v>
      </c>
      <c r="X6" s="20">
        <f>'TE BE'!$AB$6*'TE BF'!$X$48</f>
        <v>0</v>
      </c>
      <c r="Y6" s="20">
        <f>SUM($X$6:$X$6)</f>
        <v>0</v>
      </c>
      <c r="Z6" s="20">
        <f>'TE BE'!$Z$6*'TE BF'!$Z$48</f>
        <v>0</v>
      </c>
      <c r="AA6" s="20">
        <f>SUM($Z$6:$Z$6)</f>
        <v>0</v>
      </c>
      <c r="AB6" s="20">
        <f>SUMIF($L$4:$AA$4,"SUBTOTAL",$L$6:$AA$6)</f>
        <v>0</v>
      </c>
    </row>
    <row r="7" spans="1:28" ht="11.25" customHeight="1" x14ac:dyDescent="0.25">
      <c r="A7" s="112" t="s">
        <v>22</v>
      </c>
      <c r="B7" s="112" t="s">
        <v>62</v>
      </c>
      <c r="C7" s="112" t="s">
        <v>24</v>
      </c>
      <c r="D7" s="112" t="s">
        <v>24</v>
      </c>
      <c r="E7" s="112" t="s">
        <v>25</v>
      </c>
      <c r="F7" s="112" t="s">
        <v>25</v>
      </c>
      <c r="G7" s="22" t="s">
        <v>64</v>
      </c>
      <c r="H7" s="22" t="s">
        <v>63</v>
      </c>
      <c r="I7" s="22">
        <f>'MERCADO TE'!$U$4</f>
        <v>0</v>
      </c>
      <c r="J7" s="15"/>
      <c r="L7" s="20">
        <f>'TE BE'!$L$7*'TE BF'!$L$48</f>
        <v>0</v>
      </c>
      <c r="M7" s="20">
        <f>'TE BE'!$M$7*'TE BF'!$M$48</f>
        <v>0</v>
      </c>
      <c r="N7" s="20">
        <f>'TE BE'!$N$7*'TE BF'!$N$48</f>
        <v>0</v>
      </c>
      <c r="O7" s="20">
        <f>'TE BE'!$O$7*'TE BF'!$O$48</f>
        <v>0</v>
      </c>
      <c r="P7" s="20">
        <f>'TE BE'!$P$7*'TE BF'!$P$48</f>
        <v>0</v>
      </c>
      <c r="Q7" s="20">
        <f>SUM($L$7:$P$7)</f>
        <v>0</v>
      </c>
      <c r="R7" s="20">
        <f>'TE BE'!$R$7*'TE BF'!$R$48</f>
        <v>0</v>
      </c>
      <c r="S7" s="20">
        <f>SUM($R$7:$R$7)</f>
        <v>0</v>
      </c>
      <c r="T7" s="20">
        <f>'TE BE'!$T$7*'TE BF'!$T$48</f>
        <v>0</v>
      </c>
      <c r="U7" s="20">
        <f>'TE BE'!$U$7*'TE BF'!$U$48</f>
        <v>0</v>
      </c>
      <c r="V7" s="20">
        <f>'TE BE'!$V$7*'TE BF'!$V$48</f>
        <v>0</v>
      </c>
      <c r="W7" s="20">
        <f>SUM($T$7:$V$7)</f>
        <v>0</v>
      </c>
      <c r="X7" s="20">
        <f>'TE BE'!$AB$7*'TE BF'!$X$48</f>
        <v>0</v>
      </c>
      <c r="Y7" s="20">
        <f>SUM($X$7:$X$7)</f>
        <v>0</v>
      </c>
      <c r="Z7" s="20">
        <f>'TE BE'!$Z$7*'TE BF'!$Z$48</f>
        <v>0</v>
      </c>
      <c r="AA7" s="20">
        <f>SUM($Z$7:$Z$7)</f>
        <v>0</v>
      </c>
      <c r="AB7" s="20">
        <f>SUMIF($L$4:$AA$4,"SUBTOTAL",$L$7:$AA$7)</f>
        <v>0</v>
      </c>
    </row>
    <row r="8" spans="1:28" ht="11.25" customHeight="1" x14ac:dyDescent="0.25">
      <c r="A8" s="112"/>
      <c r="B8" s="112"/>
      <c r="C8" s="112"/>
      <c r="D8" s="112"/>
      <c r="E8" s="112"/>
      <c r="F8" s="112"/>
      <c r="G8" s="22" t="s">
        <v>75</v>
      </c>
      <c r="H8" s="22" t="s">
        <v>63</v>
      </c>
      <c r="I8" s="22">
        <f>'MERCADO TE'!$U$5</f>
        <v>0</v>
      </c>
      <c r="J8" s="15"/>
      <c r="L8" s="20">
        <f>'TE BE'!$L$8*'TE BF'!$L$48</f>
        <v>0</v>
      </c>
      <c r="M8" s="20">
        <f>'TE BE'!$M$8*'TE BF'!$M$48</f>
        <v>0</v>
      </c>
      <c r="N8" s="20">
        <f>'TE BE'!$N$8*'TE BF'!$N$48</f>
        <v>0</v>
      </c>
      <c r="O8" s="20">
        <f>'TE BE'!$O$8*'TE BF'!$O$48</f>
        <v>0</v>
      </c>
      <c r="P8" s="20">
        <f>'TE BE'!$P$8*'TE BF'!$P$48</f>
        <v>0</v>
      </c>
      <c r="Q8" s="20">
        <f>SUM($L$8:$P$8)</f>
        <v>0</v>
      </c>
      <c r="R8" s="20">
        <f>'TE BE'!$R$8*'TE BF'!$R$48</f>
        <v>0</v>
      </c>
      <c r="S8" s="20">
        <f>SUM($R$8:$R$8)</f>
        <v>0</v>
      </c>
      <c r="T8" s="20">
        <f>'TE BE'!$T$8*'TE BF'!$T$48</f>
        <v>0</v>
      </c>
      <c r="U8" s="20">
        <f>'TE BE'!$U$8*'TE BF'!$U$48</f>
        <v>0</v>
      </c>
      <c r="V8" s="20">
        <f>'TE BE'!$V$8*'TE BF'!$V$48</f>
        <v>0</v>
      </c>
      <c r="W8" s="20">
        <f>SUM($T$8:$V$8)</f>
        <v>0</v>
      </c>
      <c r="X8" s="20">
        <f>'TE BE'!$AB$8*'TE BF'!$X$48</f>
        <v>0</v>
      </c>
      <c r="Y8" s="20">
        <f>SUM($X$8:$X$8)</f>
        <v>0</v>
      </c>
      <c r="Z8" s="20">
        <f>'TE BE'!$Z$8*'TE BF'!$Z$48</f>
        <v>0</v>
      </c>
      <c r="AA8" s="20">
        <f>SUM($Z$8:$Z$8)</f>
        <v>0</v>
      </c>
      <c r="AB8" s="20">
        <f>SUMIF($L$4:$AA$4,"SUBTOTAL",$L$8:$AA$8)</f>
        <v>0</v>
      </c>
    </row>
    <row r="9" spans="1:28" ht="11.25" customHeight="1" x14ac:dyDescent="0.25">
      <c r="A9" s="112"/>
      <c r="B9" s="112"/>
      <c r="C9" s="112"/>
      <c r="D9" s="112"/>
      <c r="E9" s="112"/>
      <c r="F9" s="112"/>
      <c r="G9" s="22" t="s">
        <v>65</v>
      </c>
      <c r="H9" s="22" t="s">
        <v>63</v>
      </c>
      <c r="I9" s="22">
        <f>'MERCADO TE'!$U$6</f>
        <v>0</v>
      </c>
      <c r="J9" s="15"/>
      <c r="L9" s="20">
        <f>'TE BE'!$L$9*'TE BF'!$L$48</f>
        <v>0</v>
      </c>
      <c r="M9" s="20">
        <f>'TE BE'!$M$9*'TE BF'!$M$48</f>
        <v>0</v>
      </c>
      <c r="N9" s="20">
        <f>'TE BE'!$N$9*'TE BF'!$N$48</f>
        <v>0</v>
      </c>
      <c r="O9" s="20">
        <f>'TE BE'!$O$9*'TE BF'!$O$48</f>
        <v>0</v>
      </c>
      <c r="P9" s="20">
        <f>'TE BE'!$P$9*'TE BF'!$P$48</f>
        <v>0</v>
      </c>
      <c r="Q9" s="20">
        <f>SUM($L$9:$P$9)</f>
        <v>0</v>
      </c>
      <c r="R9" s="20">
        <f>'TE BE'!$R$9*'TE BF'!$R$48</f>
        <v>0</v>
      </c>
      <c r="S9" s="20">
        <f>SUM($R$9:$R$9)</f>
        <v>0</v>
      </c>
      <c r="T9" s="20">
        <f>'TE BE'!$T$9*'TE BF'!$T$48</f>
        <v>0</v>
      </c>
      <c r="U9" s="20">
        <f>'TE BE'!$U$9*'TE BF'!$U$48</f>
        <v>0</v>
      </c>
      <c r="V9" s="20">
        <f>'TE BE'!$V$9*'TE BF'!$V$48</f>
        <v>0</v>
      </c>
      <c r="W9" s="20">
        <f>SUM($T$9:$V$9)</f>
        <v>0</v>
      </c>
      <c r="X9" s="20">
        <f>'TE BE'!$AB$9*'TE BF'!$X$48</f>
        <v>0</v>
      </c>
      <c r="Y9" s="20">
        <f>SUM($X$9:$X$9)</f>
        <v>0</v>
      </c>
      <c r="Z9" s="20">
        <f>'TE BE'!$Z$9*'TE BF'!$Z$48</f>
        <v>0</v>
      </c>
      <c r="AA9" s="20">
        <f>SUM($Z$9:$Z$9)</f>
        <v>0</v>
      </c>
      <c r="AB9" s="20">
        <f>SUMIF($L$4:$AA$4,"SUBTOTAL",$L$9:$AA$9)</f>
        <v>0</v>
      </c>
    </row>
    <row r="10" spans="1:28" ht="11.25" customHeight="1" x14ac:dyDescent="0.25">
      <c r="A10" s="112"/>
      <c r="B10" s="112" t="s">
        <v>76</v>
      </c>
      <c r="C10" s="112" t="s">
        <v>24</v>
      </c>
      <c r="D10" s="23" t="s">
        <v>24</v>
      </c>
      <c r="E10" s="23" t="s">
        <v>25</v>
      </c>
      <c r="F10" s="23" t="s">
        <v>25</v>
      </c>
      <c r="G10" s="22" t="s">
        <v>69</v>
      </c>
      <c r="H10" s="22" t="s">
        <v>63</v>
      </c>
      <c r="I10" s="22">
        <f>'MERCADO TE'!$U$7</f>
        <v>2968.7139999999999</v>
      </c>
      <c r="J10" s="15"/>
      <c r="L10" s="20">
        <f>'TE BE'!$L$10*'TE BF'!$L$48</f>
        <v>0</v>
      </c>
      <c r="M10" s="20">
        <f>'TE BE'!$M$10*'TE BF'!$M$48</f>
        <v>0</v>
      </c>
      <c r="N10" s="20">
        <f>'TE BE'!$N$10*'TE BF'!$N$48</f>
        <v>0</v>
      </c>
      <c r="O10" s="20">
        <f>'TE BE'!$O$10*'TE BF'!$O$48</f>
        <v>0</v>
      </c>
      <c r="P10" s="20">
        <f>'TE BE'!$P$10*'TE BF'!$P$48</f>
        <v>0</v>
      </c>
      <c r="Q10" s="20">
        <f>SUM($L$10:$P$10)</f>
        <v>0</v>
      </c>
      <c r="R10" s="20">
        <f>'TE BE'!$R$10*'TE BF'!$R$48</f>
        <v>0</v>
      </c>
      <c r="S10" s="20">
        <f>SUM($R$10:$R$10)</f>
        <v>0</v>
      </c>
      <c r="T10" s="20">
        <f>'TE BE'!$T$10*'TE BF'!$T$48</f>
        <v>0</v>
      </c>
      <c r="U10" s="20">
        <f>'TE BE'!$U$10*'TE BF'!$U$48</f>
        <v>0</v>
      </c>
      <c r="V10" s="20">
        <f>'TE BE'!$V$10*'TE BF'!$V$48</f>
        <v>0</v>
      </c>
      <c r="W10" s="20">
        <f>SUM($T$10:$V$10)</f>
        <v>0</v>
      </c>
      <c r="X10" s="20">
        <f>'TE BE'!$AB$10*'TE BF'!$X$48</f>
        <v>0</v>
      </c>
      <c r="Y10" s="20">
        <f>SUM($X$10:$X$10)</f>
        <v>0</v>
      </c>
      <c r="Z10" s="20">
        <f>'TE BE'!$Z$10*'TE BF'!$Z$48</f>
        <v>0</v>
      </c>
      <c r="AA10" s="20">
        <f>SUM($Z$10:$Z$10)</f>
        <v>0</v>
      </c>
      <c r="AB10" s="20">
        <f>SUMIF($L$4:$AA$4,"SUBTOTAL",$L$10:$AA$10)</f>
        <v>0</v>
      </c>
    </row>
    <row r="11" spans="1:28" ht="11.25" customHeight="1" x14ac:dyDescent="0.25">
      <c r="A11" s="112"/>
      <c r="B11" s="112"/>
      <c r="C11" s="112"/>
      <c r="D11" s="23" t="s">
        <v>27</v>
      </c>
      <c r="E11" s="23" t="s">
        <v>25</v>
      </c>
      <c r="F11" s="23" t="s">
        <v>25</v>
      </c>
      <c r="G11" s="22" t="s">
        <v>69</v>
      </c>
      <c r="H11" s="22" t="s">
        <v>63</v>
      </c>
      <c r="I11" s="22">
        <f>'MERCADO TE'!$U$8</f>
        <v>3.0050000000000003</v>
      </c>
      <c r="J11" s="15"/>
      <c r="L11" s="20">
        <f>'TE BE'!$L$11*'TE BF'!$L$48</f>
        <v>0</v>
      </c>
      <c r="M11" s="20">
        <f>'TE BE'!$M$11*'TE BF'!$M$48</f>
        <v>0</v>
      </c>
      <c r="N11" s="20">
        <f>'TE BE'!$N$11*'TE BF'!$N$48</f>
        <v>0</v>
      </c>
      <c r="O11" s="20">
        <f>'TE BE'!$O$11*'TE BF'!$O$48</f>
        <v>0</v>
      </c>
      <c r="P11" s="20">
        <f>'TE BE'!$P$11*'TE BF'!$P$48</f>
        <v>0</v>
      </c>
      <c r="Q11" s="20">
        <f>SUM($L$11:$P$11)</f>
        <v>0</v>
      </c>
      <c r="R11" s="20">
        <f>'TE BE'!$R$11*'TE BF'!$R$48</f>
        <v>0</v>
      </c>
      <c r="S11" s="20">
        <f>SUM($R$11:$R$11)</f>
        <v>0</v>
      </c>
      <c r="T11" s="20">
        <f>'TE BE'!$T$11*'TE BF'!$T$48</f>
        <v>0</v>
      </c>
      <c r="U11" s="20">
        <f>'TE BE'!$U$11*'TE BF'!$U$48</f>
        <v>0</v>
      </c>
      <c r="V11" s="20">
        <f>'TE BE'!$V$11*'TE BF'!$V$48</f>
        <v>0</v>
      </c>
      <c r="W11" s="20">
        <f>SUM($T$11:$V$11)</f>
        <v>0</v>
      </c>
      <c r="X11" s="20">
        <f>'TE BE'!$AB$11*'TE BF'!$X$48</f>
        <v>0</v>
      </c>
      <c r="Y11" s="20">
        <f>SUM($X$11:$X$11)</f>
        <v>0</v>
      </c>
      <c r="Z11" s="20">
        <f>'TE BE'!$Z$11*'TE BF'!$Z$48</f>
        <v>0</v>
      </c>
      <c r="AA11" s="20">
        <f>SUM($Z$11:$Z$11)</f>
        <v>0</v>
      </c>
      <c r="AB11" s="20">
        <f>SUMIF($L$4:$AA$4,"SUBTOTAL",$L$11:$AA$11)</f>
        <v>0</v>
      </c>
    </row>
    <row r="12" spans="1:28" ht="11.25" customHeight="1" x14ac:dyDescent="0.25">
      <c r="A12" s="112"/>
      <c r="B12" s="112"/>
      <c r="C12" s="112"/>
      <c r="D12" s="23" t="s">
        <v>28</v>
      </c>
      <c r="E12" s="23" t="s">
        <v>25</v>
      </c>
      <c r="F12" s="23" t="s">
        <v>25</v>
      </c>
      <c r="G12" s="22" t="s">
        <v>69</v>
      </c>
      <c r="H12" s="22" t="s">
        <v>63</v>
      </c>
      <c r="I12" s="22">
        <f>'MERCADO TE'!$U$9</f>
        <v>4.8120000000000003</v>
      </c>
      <c r="J12" s="15"/>
      <c r="L12" s="20">
        <f>'TE BE'!$L$12*'TE BF'!$L$48</f>
        <v>0</v>
      </c>
      <c r="M12" s="20">
        <f>'TE BE'!$M$12*'TE BF'!$M$48</f>
        <v>0</v>
      </c>
      <c r="N12" s="20">
        <f>'TE BE'!$N$12*'TE BF'!$N$48</f>
        <v>0</v>
      </c>
      <c r="O12" s="20">
        <f>'TE BE'!$O$12*'TE BF'!$O$48</f>
        <v>0</v>
      </c>
      <c r="P12" s="20">
        <f>'TE BE'!$P$12*'TE BF'!$P$48</f>
        <v>0</v>
      </c>
      <c r="Q12" s="20">
        <f>SUM($L$12:$P$12)</f>
        <v>0</v>
      </c>
      <c r="R12" s="20">
        <f>'TE BE'!$R$12*'TE BF'!$R$48</f>
        <v>0</v>
      </c>
      <c r="S12" s="20">
        <f>SUM($R$12:$R$12)</f>
        <v>0</v>
      </c>
      <c r="T12" s="20">
        <f>'TE BE'!$T$12*'TE BF'!$T$48</f>
        <v>0</v>
      </c>
      <c r="U12" s="20">
        <f>'TE BE'!$U$12*'TE BF'!$U$48</f>
        <v>0</v>
      </c>
      <c r="V12" s="20">
        <f>'TE BE'!$V$12*'TE BF'!$V$48</f>
        <v>0</v>
      </c>
      <c r="W12" s="20">
        <f>SUM($T$12:$V$12)</f>
        <v>0</v>
      </c>
      <c r="X12" s="20">
        <f>'TE BE'!$AB$12*'TE BF'!$X$48</f>
        <v>0</v>
      </c>
      <c r="Y12" s="20">
        <f>SUM($X$12:$X$12)</f>
        <v>0</v>
      </c>
      <c r="Z12" s="20">
        <f>'TE BE'!$Z$12*'TE BF'!$Z$48</f>
        <v>0</v>
      </c>
      <c r="AA12" s="20">
        <f>SUM($Z$12:$Z$12)</f>
        <v>0</v>
      </c>
      <c r="AB12" s="20">
        <f>SUMIF($L$4:$AA$4,"SUBTOTAL",$L$12:$AA$12)</f>
        <v>0</v>
      </c>
    </row>
    <row r="13" spans="1:28" ht="11.25" customHeight="1" x14ac:dyDescent="0.25">
      <c r="A13" s="112"/>
      <c r="B13" s="112"/>
      <c r="C13" s="112"/>
      <c r="D13" s="23" t="s">
        <v>29</v>
      </c>
      <c r="E13" s="23" t="s">
        <v>25</v>
      </c>
      <c r="F13" s="23" t="s">
        <v>25</v>
      </c>
      <c r="G13" s="22" t="s">
        <v>69</v>
      </c>
      <c r="H13" s="22" t="s">
        <v>63</v>
      </c>
      <c r="I13" s="22">
        <f>'MERCADO TE'!$U$10</f>
        <v>0.12</v>
      </c>
      <c r="J13" s="15"/>
      <c r="L13" s="20">
        <f>'TE BE'!$L$13*'TE BF'!$L$48</f>
        <v>0</v>
      </c>
      <c r="M13" s="20">
        <f>'TE BE'!$M$13*'TE BF'!$M$48</f>
        <v>0</v>
      </c>
      <c r="N13" s="20">
        <f>'TE BE'!$N$13*'TE BF'!$N$48</f>
        <v>0</v>
      </c>
      <c r="O13" s="20">
        <f>'TE BE'!$O$13*'TE BF'!$O$48</f>
        <v>0</v>
      </c>
      <c r="P13" s="20">
        <f>'TE BE'!$P$13*'TE BF'!$P$48</f>
        <v>0</v>
      </c>
      <c r="Q13" s="20">
        <f>SUM($L$13:$P$13)</f>
        <v>0</v>
      </c>
      <c r="R13" s="20">
        <f>'TE BE'!$R$13*'TE BF'!$R$48</f>
        <v>0</v>
      </c>
      <c r="S13" s="20">
        <f>SUM($R$13:$R$13)</f>
        <v>0</v>
      </c>
      <c r="T13" s="20">
        <f>'TE BE'!$T$13*'TE BF'!$T$48</f>
        <v>0</v>
      </c>
      <c r="U13" s="20">
        <f>'TE BE'!$U$13*'TE BF'!$U$48</f>
        <v>0</v>
      </c>
      <c r="V13" s="20">
        <f>'TE BE'!$V$13*'TE BF'!$V$48</f>
        <v>0</v>
      </c>
      <c r="W13" s="20">
        <f>SUM($T$13:$V$13)</f>
        <v>0</v>
      </c>
      <c r="X13" s="20">
        <f>'TE BE'!$AB$13*'TE BF'!$X$48</f>
        <v>0</v>
      </c>
      <c r="Y13" s="20">
        <f>SUM($X$13:$X$13)</f>
        <v>0</v>
      </c>
      <c r="Z13" s="20">
        <f>'TE BE'!$Z$13*'TE BF'!$Z$48</f>
        <v>0</v>
      </c>
      <c r="AA13" s="20">
        <f>SUM($Z$13:$Z$13)</f>
        <v>0</v>
      </c>
      <c r="AB13" s="20">
        <f>SUMIF($L$4:$AA$4,"SUBTOTAL",$L$13:$AA$13)</f>
        <v>0</v>
      </c>
    </row>
    <row r="14" spans="1:28" ht="11.25" customHeight="1" x14ac:dyDescent="0.25">
      <c r="A14" s="112"/>
      <c r="B14" s="112"/>
      <c r="C14" s="112"/>
      <c r="D14" s="23" t="s">
        <v>30</v>
      </c>
      <c r="E14" s="23" t="s">
        <v>25</v>
      </c>
      <c r="F14" s="23" t="s">
        <v>25</v>
      </c>
      <c r="G14" s="22" t="s">
        <v>69</v>
      </c>
      <c r="H14" s="22" t="s">
        <v>63</v>
      </c>
      <c r="I14" s="22">
        <f>'MERCADO TE'!$U$11</f>
        <v>0.31900000000000001</v>
      </c>
      <c r="J14" s="15"/>
      <c r="L14" s="20">
        <f>'TE BE'!$L$14*'TE BF'!$L$48</f>
        <v>0</v>
      </c>
      <c r="M14" s="20">
        <f>'TE BE'!$M$14*'TE BF'!$M$48</f>
        <v>0</v>
      </c>
      <c r="N14" s="20">
        <f>'TE BE'!$N$14*'TE BF'!$N$48</f>
        <v>0</v>
      </c>
      <c r="O14" s="20">
        <f>'TE BE'!$O$14*'TE BF'!$O$48</f>
        <v>0</v>
      </c>
      <c r="P14" s="20">
        <f>'TE BE'!$P$14*'TE BF'!$P$48</f>
        <v>0</v>
      </c>
      <c r="Q14" s="20">
        <f>SUM($L$14:$P$14)</f>
        <v>0</v>
      </c>
      <c r="R14" s="20">
        <f>'TE BE'!$R$14*'TE BF'!$R$48</f>
        <v>0</v>
      </c>
      <c r="S14" s="20">
        <f>SUM($R$14:$R$14)</f>
        <v>0</v>
      </c>
      <c r="T14" s="20">
        <f>'TE BE'!$T$14*'TE BF'!$T$48</f>
        <v>0</v>
      </c>
      <c r="U14" s="20">
        <f>'TE BE'!$U$14*'TE BF'!$U$48</f>
        <v>0</v>
      </c>
      <c r="V14" s="20">
        <f>'TE BE'!$V$14*'TE BF'!$V$48</f>
        <v>0</v>
      </c>
      <c r="W14" s="20">
        <f>SUM($T$14:$V$14)</f>
        <v>0</v>
      </c>
      <c r="X14" s="20">
        <f>'TE BE'!$AB$14*'TE BF'!$X$48</f>
        <v>0</v>
      </c>
      <c r="Y14" s="20">
        <f>SUM($X$14:$X$14)</f>
        <v>0</v>
      </c>
      <c r="Z14" s="20">
        <f>'TE BE'!$Z$14*'TE BF'!$Z$48</f>
        <v>0</v>
      </c>
      <c r="AA14" s="20">
        <f>SUM($Z$14:$Z$14)</f>
        <v>0</v>
      </c>
      <c r="AB14" s="20">
        <f>SUMIF($L$4:$AA$4,"SUBTOTAL",$L$14:$AA$14)</f>
        <v>0</v>
      </c>
    </row>
    <row r="15" spans="1:28" ht="11.25" customHeight="1" x14ac:dyDescent="0.25">
      <c r="A15" s="112"/>
      <c r="B15" s="112" t="s">
        <v>78</v>
      </c>
      <c r="C15" s="112" t="s">
        <v>24</v>
      </c>
      <c r="D15" s="23" t="s">
        <v>24</v>
      </c>
      <c r="E15" s="23" t="s">
        <v>25</v>
      </c>
      <c r="F15" s="23" t="s">
        <v>25</v>
      </c>
      <c r="G15" s="22" t="s">
        <v>69</v>
      </c>
      <c r="H15" s="22" t="s">
        <v>63</v>
      </c>
      <c r="I15" s="22">
        <f>'MERCADO TE'!$U$12</f>
        <v>0</v>
      </c>
      <c r="J15" s="15"/>
      <c r="L15" s="20">
        <f>'TE BE'!$L$15*'TE BF'!$L$48</f>
        <v>0</v>
      </c>
      <c r="M15" s="20">
        <f>'TE BE'!$M$15*'TE BF'!$M$48</f>
        <v>0</v>
      </c>
      <c r="N15" s="20">
        <f>'TE BE'!$N$15*'TE BF'!$N$48</f>
        <v>0</v>
      </c>
      <c r="O15" s="20">
        <f>'TE BE'!$O$15*'TE BF'!$O$48</f>
        <v>0</v>
      </c>
      <c r="P15" s="20">
        <f>'TE BE'!$P$15*'TE BF'!$P$48</f>
        <v>0</v>
      </c>
      <c r="Q15" s="20">
        <f>SUM($L$15:$P$15)</f>
        <v>0</v>
      </c>
      <c r="R15" s="20">
        <f>'TE BE'!$R$15*'TE BF'!$R$48</f>
        <v>0</v>
      </c>
      <c r="S15" s="20">
        <f>SUM($R$15:$R$15)</f>
        <v>0</v>
      </c>
      <c r="T15" s="20">
        <f>'TE BE'!$T$15*'TE BF'!$T$48</f>
        <v>0</v>
      </c>
      <c r="U15" s="20">
        <f>'TE BE'!$U$15*'TE BF'!$U$48</f>
        <v>0</v>
      </c>
      <c r="V15" s="20">
        <f>'TE BE'!$V$15*'TE BF'!$V$48</f>
        <v>0</v>
      </c>
      <c r="W15" s="20">
        <f>SUM($T$15:$V$15)</f>
        <v>0</v>
      </c>
      <c r="X15" s="20">
        <f>'TE BE'!$AB$15*'TE BF'!$X$48</f>
        <v>0</v>
      </c>
      <c r="Y15" s="20">
        <f>SUM($X$15:$X$15)</f>
        <v>0</v>
      </c>
      <c r="Z15" s="20">
        <f>'TE BE'!$Z$15*'TE BF'!$Z$48</f>
        <v>0</v>
      </c>
      <c r="AA15" s="20">
        <f>SUM($Z$15:$Z$15)</f>
        <v>0</v>
      </c>
      <c r="AB15" s="20">
        <f>SUMIF($L$4:$AA$4,"SUBTOTAL",$L$15:$AA$15)</f>
        <v>0</v>
      </c>
    </row>
    <row r="16" spans="1:28" ht="11.25" customHeight="1" x14ac:dyDescent="0.25">
      <c r="A16" s="112"/>
      <c r="B16" s="112"/>
      <c r="C16" s="112"/>
      <c r="D16" s="23" t="s">
        <v>27</v>
      </c>
      <c r="E16" s="23" t="s">
        <v>25</v>
      </c>
      <c r="F16" s="23" t="s">
        <v>25</v>
      </c>
      <c r="G16" s="22" t="s">
        <v>69</v>
      </c>
      <c r="H16" s="22" t="s">
        <v>63</v>
      </c>
      <c r="I16" s="22">
        <f>'MERCADO TE'!$U$13</f>
        <v>0</v>
      </c>
      <c r="J16" s="15"/>
      <c r="L16" s="20">
        <f>'TE BE'!$L$16*'TE BF'!$L$48</f>
        <v>0</v>
      </c>
      <c r="M16" s="20">
        <f>'TE BE'!$M$16*'TE BF'!$M$48</f>
        <v>0</v>
      </c>
      <c r="N16" s="20">
        <f>'TE BE'!$N$16*'TE BF'!$N$48</f>
        <v>0</v>
      </c>
      <c r="O16" s="20">
        <f>'TE BE'!$O$16*'TE BF'!$O$48</f>
        <v>0</v>
      </c>
      <c r="P16" s="20">
        <f>'TE BE'!$P$16*'TE BF'!$P$48</f>
        <v>0</v>
      </c>
      <c r="Q16" s="20">
        <f>SUM($L$16:$P$16)</f>
        <v>0</v>
      </c>
      <c r="R16" s="20">
        <f>'TE BE'!$R$16*'TE BF'!$R$48</f>
        <v>0</v>
      </c>
      <c r="S16" s="20">
        <f>SUM($R$16:$R$16)</f>
        <v>0</v>
      </c>
      <c r="T16" s="20">
        <f>'TE BE'!$T$16*'TE BF'!$T$48</f>
        <v>0</v>
      </c>
      <c r="U16" s="20">
        <f>'TE BE'!$U$16*'TE BF'!$U$48</f>
        <v>0</v>
      </c>
      <c r="V16" s="20">
        <f>'TE BE'!$V$16*'TE BF'!$V$48</f>
        <v>0</v>
      </c>
      <c r="W16" s="20">
        <f>SUM($T$16:$V$16)</f>
        <v>0</v>
      </c>
      <c r="X16" s="20">
        <f>'TE BE'!$AB$16*'TE BF'!$X$48</f>
        <v>0</v>
      </c>
      <c r="Y16" s="20">
        <f>SUM($X$16:$X$16)</f>
        <v>0</v>
      </c>
      <c r="Z16" s="20">
        <f>'TE BE'!$Z$16*'TE BF'!$Z$48</f>
        <v>0</v>
      </c>
      <c r="AA16" s="20">
        <f>SUM($Z$16:$Z$16)</f>
        <v>0</v>
      </c>
      <c r="AB16" s="20">
        <f>SUMIF($L$4:$AA$4,"SUBTOTAL",$L$16:$AA$16)</f>
        <v>0</v>
      </c>
    </row>
    <row r="17" spans="1:28" ht="11.25" customHeight="1" x14ac:dyDescent="0.25">
      <c r="A17" s="112"/>
      <c r="B17" s="112"/>
      <c r="C17" s="112"/>
      <c r="D17" s="23" t="s">
        <v>28</v>
      </c>
      <c r="E17" s="23" t="s">
        <v>25</v>
      </c>
      <c r="F17" s="23" t="s">
        <v>25</v>
      </c>
      <c r="G17" s="22" t="s">
        <v>69</v>
      </c>
      <c r="H17" s="22" t="s">
        <v>63</v>
      </c>
      <c r="I17" s="22">
        <f>'MERCADO TE'!$U$14</f>
        <v>0</v>
      </c>
      <c r="J17" s="15"/>
      <c r="L17" s="20">
        <f>'TE BE'!$L$17*'TE BF'!$L$48</f>
        <v>0</v>
      </c>
      <c r="M17" s="20">
        <f>'TE BE'!$M$17*'TE BF'!$M$48</f>
        <v>0</v>
      </c>
      <c r="N17" s="20">
        <f>'TE BE'!$N$17*'TE BF'!$N$48</f>
        <v>0</v>
      </c>
      <c r="O17" s="20">
        <f>'TE BE'!$O$17*'TE BF'!$O$48</f>
        <v>0</v>
      </c>
      <c r="P17" s="20">
        <f>'TE BE'!$P$17*'TE BF'!$P$48</f>
        <v>0</v>
      </c>
      <c r="Q17" s="20">
        <f>SUM($L$17:$P$17)</f>
        <v>0</v>
      </c>
      <c r="R17" s="20">
        <f>'TE BE'!$R$17*'TE BF'!$R$48</f>
        <v>0</v>
      </c>
      <c r="S17" s="20">
        <f>SUM($R$17:$R$17)</f>
        <v>0</v>
      </c>
      <c r="T17" s="20">
        <f>'TE BE'!$T$17*'TE BF'!$T$48</f>
        <v>0</v>
      </c>
      <c r="U17" s="20">
        <f>'TE BE'!$U$17*'TE BF'!$U$48</f>
        <v>0</v>
      </c>
      <c r="V17" s="20">
        <f>'TE BE'!$V$17*'TE BF'!$V$48</f>
        <v>0</v>
      </c>
      <c r="W17" s="20">
        <f>SUM($T$17:$V$17)</f>
        <v>0</v>
      </c>
      <c r="X17" s="20">
        <f>'TE BE'!$AB$17*'TE BF'!$X$48</f>
        <v>0</v>
      </c>
      <c r="Y17" s="20">
        <f>SUM($X$17:$X$17)</f>
        <v>0</v>
      </c>
      <c r="Z17" s="20">
        <f>'TE BE'!$Z$17*'TE BF'!$Z$48</f>
        <v>0</v>
      </c>
      <c r="AA17" s="20">
        <f>SUM($Z$17:$Z$17)</f>
        <v>0</v>
      </c>
      <c r="AB17" s="20">
        <f>SUMIF($L$4:$AA$4,"SUBTOTAL",$L$17:$AA$17)</f>
        <v>0</v>
      </c>
    </row>
    <row r="18" spans="1:28" ht="11.25" customHeight="1" x14ac:dyDescent="0.25">
      <c r="A18" s="112"/>
      <c r="B18" s="112"/>
      <c r="C18" s="112"/>
      <c r="D18" s="23" t="s">
        <v>29</v>
      </c>
      <c r="E18" s="23" t="s">
        <v>25</v>
      </c>
      <c r="F18" s="23" t="s">
        <v>25</v>
      </c>
      <c r="G18" s="22" t="s">
        <v>69</v>
      </c>
      <c r="H18" s="22" t="s">
        <v>63</v>
      </c>
      <c r="I18" s="22">
        <f>'MERCADO TE'!$U$15</f>
        <v>0</v>
      </c>
      <c r="J18" s="15"/>
      <c r="L18" s="20">
        <f>'TE BE'!$L$18*'TE BF'!$L$48</f>
        <v>0</v>
      </c>
      <c r="M18" s="20">
        <f>'TE BE'!$M$18*'TE BF'!$M$48</f>
        <v>0</v>
      </c>
      <c r="N18" s="20">
        <f>'TE BE'!$N$18*'TE BF'!$N$48</f>
        <v>0</v>
      </c>
      <c r="O18" s="20">
        <f>'TE BE'!$O$18*'TE BF'!$O$48</f>
        <v>0</v>
      </c>
      <c r="P18" s="20">
        <f>'TE BE'!$P$18*'TE BF'!$P$48</f>
        <v>0</v>
      </c>
      <c r="Q18" s="20">
        <f>SUM($L$18:$P$18)</f>
        <v>0</v>
      </c>
      <c r="R18" s="20">
        <f>'TE BE'!$R$18*'TE BF'!$R$48</f>
        <v>0</v>
      </c>
      <c r="S18" s="20">
        <f>SUM($R$18:$R$18)</f>
        <v>0</v>
      </c>
      <c r="T18" s="20">
        <f>'TE BE'!$T$18*'TE BF'!$T$48</f>
        <v>0</v>
      </c>
      <c r="U18" s="20">
        <f>'TE BE'!$U$18*'TE BF'!$U$48</f>
        <v>0</v>
      </c>
      <c r="V18" s="20">
        <f>'TE BE'!$V$18*'TE BF'!$V$48</f>
        <v>0</v>
      </c>
      <c r="W18" s="20">
        <f>SUM($T$18:$V$18)</f>
        <v>0</v>
      </c>
      <c r="X18" s="20">
        <f>'TE BE'!$AB$18*'TE BF'!$X$48</f>
        <v>0</v>
      </c>
      <c r="Y18" s="20">
        <f>SUM($X$18:$X$18)</f>
        <v>0</v>
      </c>
      <c r="Z18" s="20">
        <f>'TE BE'!$Z$18*'TE BF'!$Z$48</f>
        <v>0</v>
      </c>
      <c r="AA18" s="20">
        <f>SUM($Z$18:$Z$18)</f>
        <v>0</v>
      </c>
      <c r="AB18" s="20">
        <f>SUMIF($L$4:$AA$4,"SUBTOTAL",$L$18:$AA$18)</f>
        <v>0</v>
      </c>
    </row>
    <row r="19" spans="1:28" ht="11.25" customHeight="1" x14ac:dyDescent="0.25">
      <c r="A19" s="112"/>
      <c r="B19" s="112"/>
      <c r="C19" s="112"/>
      <c r="D19" s="23" t="s">
        <v>30</v>
      </c>
      <c r="E19" s="23" t="s">
        <v>25</v>
      </c>
      <c r="F19" s="23" t="s">
        <v>25</v>
      </c>
      <c r="G19" s="22" t="s">
        <v>69</v>
      </c>
      <c r="H19" s="22" t="s">
        <v>63</v>
      </c>
      <c r="I19" s="22">
        <f>'MERCADO TE'!$U$16</f>
        <v>0</v>
      </c>
      <c r="J19" s="15"/>
      <c r="L19" s="20">
        <f>'TE BE'!$L$19*'TE BF'!$L$48</f>
        <v>0</v>
      </c>
      <c r="M19" s="20">
        <f>'TE BE'!$M$19*'TE BF'!$M$48</f>
        <v>0</v>
      </c>
      <c r="N19" s="20">
        <f>'TE BE'!$N$19*'TE BF'!$N$48</f>
        <v>0</v>
      </c>
      <c r="O19" s="20">
        <f>'TE BE'!$O$19*'TE BF'!$O$48</f>
        <v>0</v>
      </c>
      <c r="P19" s="20">
        <f>'TE BE'!$P$19*'TE BF'!$P$48</f>
        <v>0</v>
      </c>
      <c r="Q19" s="20">
        <f>SUM($L$19:$P$19)</f>
        <v>0</v>
      </c>
      <c r="R19" s="20">
        <f>'TE BE'!$R$19*'TE BF'!$R$48</f>
        <v>0</v>
      </c>
      <c r="S19" s="20">
        <f>SUM($R$19:$R$19)</f>
        <v>0</v>
      </c>
      <c r="T19" s="20">
        <f>'TE BE'!$T$19*'TE BF'!$T$48</f>
        <v>0</v>
      </c>
      <c r="U19" s="20">
        <f>'TE BE'!$U$19*'TE BF'!$U$48</f>
        <v>0</v>
      </c>
      <c r="V19" s="20">
        <f>'TE BE'!$V$19*'TE BF'!$V$48</f>
        <v>0</v>
      </c>
      <c r="W19" s="20">
        <f>SUM($T$19:$V$19)</f>
        <v>0</v>
      </c>
      <c r="X19" s="20">
        <f>'TE BE'!$AB$19*'TE BF'!$X$48</f>
        <v>0</v>
      </c>
      <c r="Y19" s="20">
        <f>SUM($X$19:$X$19)</f>
        <v>0</v>
      </c>
      <c r="Z19" s="20">
        <f>'TE BE'!$Z$19*'TE BF'!$Z$48</f>
        <v>0</v>
      </c>
      <c r="AA19" s="20">
        <f>SUM($Z$19:$Z$19)</f>
        <v>0</v>
      </c>
      <c r="AB19" s="20">
        <f>SUMIF($L$4:$AA$4,"SUBTOTAL",$L$19:$AA$19)</f>
        <v>0</v>
      </c>
    </row>
    <row r="20" spans="1:28" ht="11.25" customHeight="1" x14ac:dyDescent="0.25">
      <c r="A20" s="112" t="s">
        <v>39</v>
      </c>
      <c r="B20" s="112" t="s">
        <v>62</v>
      </c>
      <c r="C20" s="112" t="s">
        <v>40</v>
      </c>
      <c r="D20" s="112" t="s">
        <v>25</v>
      </c>
      <c r="E20" s="112" t="s">
        <v>25</v>
      </c>
      <c r="F20" s="112" t="s">
        <v>25</v>
      </c>
      <c r="G20" s="22" t="s">
        <v>64</v>
      </c>
      <c r="H20" s="22" t="s">
        <v>63</v>
      </c>
      <c r="I20" s="22">
        <f>'MERCADO TE'!$U$17</f>
        <v>0</v>
      </c>
      <c r="J20" s="15"/>
      <c r="L20" s="20">
        <f>'TE BE'!$L$20*'TE BF'!$L$48</f>
        <v>0</v>
      </c>
      <c r="M20" s="20">
        <f>'TE BE'!$M$20*'TE BF'!$M$48</f>
        <v>0</v>
      </c>
      <c r="N20" s="20">
        <f>'TE BE'!$N$20*'TE BF'!$N$48</f>
        <v>0</v>
      </c>
      <c r="O20" s="20">
        <f>'TE BE'!$O$20*'TE BF'!$O$48</f>
        <v>0</v>
      </c>
      <c r="P20" s="20">
        <f>'TE BE'!$P$20*'TE BF'!$P$48</f>
        <v>0</v>
      </c>
      <c r="Q20" s="20">
        <f>SUM($L$20:$P$20)</f>
        <v>0</v>
      </c>
      <c r="R20" s="20">
        <f>'TE BE'!$R$20*'TE BF'!$R$48</f>
        <v>0</v>
      </c>
      <c r="S20" s="20">
        <f>SUM($R$20:$R$20)</f>
        <v>0</v>
      </c>
      <c r="T20" s="20">
        <f>'TE BE'!$T$20*'TE BF'!$T$48</f>
        <v>0</v>
      </c>
      <c r="U20" s="20">
        <f>'TE BE'!$U$20*'TE BF'!$U$48</f>
        <v>0</v>
      </c>
      <c r="V20" s="20">
        <f>'TE BE'!$V$20*'TE BF'!$V$48</f>
        <v>0</v>
      </c>
      <c r="W20" s="20">
        <f>SUM($T$20:$V$20)</f>
        <v>0</v>
      </c>
      <c r="X20" s="20">
        <f>'TE BE'!$AB$20*'TE BF'!$X$48</f>
        <v>0</v>
      </c>
      <c r="Y20" s="20">
        <f>SUM($X$20:$X$20)</f>
        <v>0</v>
      </c>
      <c r="Z20" s="20">
        <f>'TE BE'!$Z$20*'TE BF'!$Z$48</f>
        <v>0</v>
      </c>
      <c r="AA20" s="20">
        <f>SUM($Z$20:$Z$20)</f>
        <v>0</v>
      </c>
      <c r="AB20" s="20">
        <f>SUMIF($L$4:$AA$4,"SUBTOTAL",$L$20:$AA$20)</f>
        <v>0</v>
      </c>
    </row>
    <row r="21" spans="1:28" ht="11.25" customHeight="1" x14ac:dyDescent="0.25">
      <c r="A21" s="112"/>
      <c r="B21" s="112"/>
      <c r="C21" s="112"/>
      <c r="D21" s="112"/>
      <c r="E21" s="112"/>
      <c r="F21" s="112"/>
      <c r="G21" s="22" t="s">
        <v>75</v>
      </c>
      <c r="H21" s="22" t="s">
        <v>63</v>
      </c>
      <c r="I21" s="22">
        <f>'MERCADO TE'!$U$18</f>
        <v>0</v>
      </c>
      <c r="J21" s="15"/>
      <c r="L21" s="20">
        <f>'TE BE'!$L$21*'TE BF'!$L$48</f>
        <v>0</v>
      </c>
      <c r="M21" s="20">
        <f>'TE BE'!$M$21*'TE BF'!$M$48</f>
        <v>0</v>
      </c>
      <c r="N21" s="20">
        <f>'TE BE'!$N$21*'TE BF'!$N$48</f>
        <v>0</v>
      </c>
      <c r="O21" s="20">
        <f>'TE BE'!$O$21*'TE BF'!$O$48</f>
        <v>0</v>
      </c>
      <c r="P21" s="20">
        <f>'TE BE'!$P$21*'TE BF'!$P$48</f>
        <v>0</v>
      </c>
      <c r="Q21" s="20">
        <f>SUM($L$21:$P$21)</f>
        <v>0</v>
      </c>
      <c r="R21" s="20">
        <f>'TE BE'!$R$21*'TE BF'!$R$48</f>
        <v>0</v>
      </c>
      <c r="S21" s="20">
        <f>SUM($R$21:$R$21)</f>
        <v>0</v>
      </c>
      <c r="T21" s="20">
        <f>'TE BE'!$T$21*'TE BF'!$T$48</f>
        <v>0</v>
      </c>
      <c r="U21" s="20">
        <f>'TE BE'!$U$21*'TE BF'!$U$48</f>
        <v>0</v>
      </c>
      <c r="V21" s="20">
        <f>'TE BE'!$V$21*'TE BF'!$V$48</f>
        <v>0</v>
      </c>
      <c r="W21" s="20">
        <f>SUM($T$21:$V$21)</f>
        <v>0</v>
      </c>
      <c r="X21" s="20">
        <f>'TE BE'!$AB$21*'TE BF'!$X$48</f>
        <v>0</v>
      </c>
      <c r="Y21" s="20">
        <f>SUM($X$21:$X$21)</f>
        <v>0</v>
      </c>
      <c r="Z21" s="20">
        <f>'TE BE'!$Z$21*'TE BF'!$Z$48</f>
        <v>0</v>
      </c>
      <c r="AA21" s="20">
        <f>SUM($Z$21:$Z$21)</f>
        <v>0</v>
      </c>
      <c r="AB21" s="20">
        <f>SUMIF($L$4:$AA$4,"SUBTOTAL",$L$21:$AA$21)</f>
        <v>0</v>
      </c>
    </row>
    <row r="22" spans="1:28" ht="11.25" customHeight="1" x14ac:dyDescent="0.25">
      <c r="A22" s="112"/>
      <c r="B22" s="112"/>
      <c r="C22" s="112"/>
      <c r="D22" s="112"/>
      <c r="E22" s="112"/>
      <c r="F22" s="112"/>
      <c r="G22" s="22" t="s">
        <v>65</v>
      </c>
      <c r="H22" s="22" t="s">
        <v>63</v>
      </c>
      <c r="I22" s="22">
        <f>'MERCADO TE'!$U$19</f>
        <v>0</v>
      </c>
      <c r="J22" s="15"/>
      <c r="L22" s="20">
        <f>'TE BE'!$L$22*'TE BF'!$L$48</f>
        <v>0</v>
      </c>
      <c r="M22" s="20">
        <f>'TE BE'!$M$22*'TE BF'!$M$48</f>
        <v>0</v>
      </c>
      <c r="N22" s="20">
        <f>'TE BE'!$N$22*'TE BF'!$N$48</f>
        <v>0</v>
      </c>
      <c r="O22" s="20">
        <f>'TE BE'!$O$22*'TE BF'!$O$48</f>
        <v>0</v>
      </c>
      <c r="P22" s="20">
        <f>'TE BE'!$P$22*'TE BF'!$P$48</f>
        <v>0</v>
      </c>
      <c r="Q22" s="20">
        <f>SUM($L$22:$P$22)</f>
        <v>0</v>
      </c>
      <c r="R22" s="20">
        <f>'TE BE'!$R$22*'TE BF'!$R$48</f>
        <v>0</v>
      </c>
      <c r="S22" s="20">
        <f>SUM($R$22:$R$22)</f>
        <v>0</v>
      </c>
      <c r="T22" s="20">
        <f>'TE BE'!$T$22*'TE BF'!$T$48</f>
        <v>0</v>
      </c>
      <c r="U22" s="20">
        <f>'TE BE'!$U$22*'TE BF'!$U$48</f>
        <v>0</v>
      </c>
      <c r="V22" s="20">
        <f>'TE BE'!$V$22*'TE BF'!$V$48</f>
        <v>0</v>
      </c>
      <c r="W22" s="20">
        <f>SUM($T$22:$V$22)</f>
        <v>0</v>
      </c>
      <c r="X22" s="20">
        <f>'TE BE'!$AB$22*'TE BF'!$X$48</f>
        <v>0</v>
      </c>
      <c r="Y22" s="20">
        <f>SUM($X$22:$X$22)</f>
        <v>0</v>
      </c>
      <c r="Z22" s="20">
        <f>'TE BE'!$Z$22*'TE BF'!$Z$48</f>
        <v>0</v>
      </c>
      <c r="AA22" s="20">
        <f>SUM($Z$22:$Z$22)</f>
        <v>0</v>
      </c>
      <c r="AB22" s="20">
        <f>SUMIF($L$4:$AA$4,"SUBTOTAL",$L$22:$AA$22)</f>
        <v>0</v>
      </c>
    </row>
    <row r="23" spans="1:28" ht="11.25" customHeight="1" x14ac:dyDescent="0.25">
      <c r="A23" s="112"/>
      <c r="B23" s="23" t="s">
        <v>76</v>
      </c>
      <c r="C23" s="23" t="s">
        <v>40</v>
      </c>
      <c r="D23" s="23" t="s">
        <v>25</v>
      </c>
      <c r="E23" s="23" t="s">
        <v>25</v>
      </c>
      <c r="F23" s="23" t="s">
        <v>25</v>
      </c>
      <c r="G23" s="22" t="s">
        <v>69</v>
      </c>
      <c r="H23" s="22" t="s">
        <v>63</v>
      </c>
      <c r="I23" s="22">
        <f>'MERCADO TE'!$U$20</f>
        <v>668.58</v>
      </c>
      <c r="J23" s="15"/>
      <c r="L23" s="20">
        <f>'TE BE'!$L$23*'TE BF'!$L$48</f>
        <v>0</v>
      </c>
      <c r="M23" s="20">
        <f>'TE BE'!$M$23*'TE BF'!$M$48</f>
        <v>0</v>
      </c>
      <c r="N23" s="20">
        <f>'TE BE'!$N$23*'TE BF'!$N$48</f>
        <v>0</v>
      </c>
      <c r="O23" s="20">
        <f>'TE BE'!$O$23*'TE BF'!$O$48</f>
        <v>0</v>
      </c>
      <c r="P23" s="20">
        <f>'TE BE'!$P$23*'TE BF'!$P$48</f>
        <v>0</v>
      </c>
      <c r="Q23" s="20">
        <f>SUM($L$23:$P$23)</f>
        <v>0</v>
      </c>
      <c r="R23" s="20">
        <f>'TE BE'!$R$23*'TE BF'!$R$48</f>
        <v>0</v>
      </c>
      <c r="S23" s="20">
        <f>SUM($R$23:$R$23)</f>
        <v>0</v>
      </c>
      <c r="T23" s="20">
        <f>'TE BE'!$T$23*'TE BF'!$T$48</f>
        <v>0</v>
      </c>
      <c r="U23" s="20">
        <f>'TE BE'!$U$23*'TE BF'!$U$48</f>
        <v>0</v>
      </c>
      <c r="V23" s="20">
        <f>'TE BE'!$V$23*'TE BF'!$V$48</f>
        <v>0</v>
      </c>
      <c r="W23" s="20">
        <f>SUM($T$23:$V$23)</f>
        <v>0</v>
      </c>
      <c r="X23" s="20">
        <f>'TE BE'!$AB$23*'TE BF'!$X$48</f>
        <v>0</v>
      </c>
      <c r="Y23" s="20">
        <f>SUM($X$23:$X$23)</f>
        <v>0</v>
      </c>
      <c r="Z23" s="20">
        <f>'TE BE'!$Z$23*'TE BF'!$Z$48</f>
        <v>0</v>
      </c>
      <c r="AA23" s="20">
        <f>SUM($Z$23:$Z$23)</f>
        <v>0</v>
      </c>
      <c r="AB23" s="20">
        <f>SUMIF($L$4:$AA$4,"SUBTOTAL",$L$23:$AA$23)</f>
        <v>0</v>
      </c>
    </row>
    <row r="24" spans="1:28" ht="11.25" customHeight="1" x14ac:dyDescent="0.25">
      <c r="A24" s="112"/>
      <c r="B24" s="112" t="s">
        <v>62</v>
      </c>
      <c r="C24" s="112" t="s">
        <v>40</v>
      </c>
      <c r="D24" s="112" t="s">
        <v>80</v>
      </c>
      <c r="E24" s="112" t="s">
        <v>25</v>
      </c>
      <c r="F24" s="112" t="s">
        <v>25</v>
      </c>
      <c r="G24" s="22" t="s">
        <v>64</v>
      </c>
      <c r="H24" s="22" t="s">
        <v>63</v>
      </c>
      <c r="I24" s="22">
        <f>'MERCADO TE'!$U$21</f>
        <v>0</v>
      </c>
      <c r="J24" s="15"/>
      <c r="L24" s="20">
        <f>'TE BE'!$L$24*'TE BF'!$L$48</f>
        <v>0</v>
      </c>
      <c r="M24" s="20">
        <f>'TE BE'!$M$24*'TE BF'!$M$48</f>
        <v>0</v>
      </c>
      <c r="N24" s="20">
        <f>'TE BE'!$N$24*'TE BF'!$N$48</f>
        <v>0</v>
      </c>
      <c r="O24" s="20">
        <f>'TE BE'!$O$24*'TE BF'!$O$48</f>
        <v>0</v>
      </c>
      <c r="P24" s="20">
        <f>'TE BE'!$P$24*'TE BF'!$P$48</f>
        <v>0</v>
      </c>
      <c r="Q24" s="20">
        <f>SUM($L$24:$P$24)</f>
        <v>0</v>
      </c>
      <c r="R24" s="20">
        <f>'TE BE'!$R$24*'TE BF'!$R$48</f>
        <v>0</v>
      </c>
      <c r="S24" s="20">
        <f>SUM($R$24:$R$24)</f>
        <v>0</v>
      </c>
      <c r="T24" s="20">
        <f>'TE BE'!$T$24*'TE BF'!$T$48</f>
        <v>0</v>
      </c>
      <c r="U24" s="20">
        <f>'TE BE'!$U$24*'TE BF'!$U$48</f>
        <v>0</v>
      </c>
      <c r="V24" s="20">
        <f>'TE BE'!$V$24*'TE BF'!$V$48</f>
        <v>0</v>
      </c>
      <c r="W24" s="20">
        <f>SUM($T$24:$V$24)</f>
        <v>0</v>
      </c>
      <c r="X24" s="20">
        <f>'TE BE'!$AB$24*'TE BF'!$X$48</f>
        <v>0</v>
      </c>
      <c r="Y24" s="20">
        <f>SUM($X$24:$X$24)</f>
        <v>0</v>
      </c>
      <c r="Z24" s="20">
        <f>'TE BE'!$Z$24*'TE BF'!$Z$48</f>
        <v>0</v>
      </c>
      <c r="AA24" s="20">
        <f>SUM($Z$24:$Z$24)</f>
        <v>0</v>
      </c>
      <c r="AB24" s="20">
        <f>SUMIF($L$4:$AA$4,"SUBTOTAL",$L$24:$AA$24)</f>
        <v>0</v>
      </c>
    </row>
    <row r="25" spans="1:28" ht="11.25" customHeight="1" x14ac:dyDescent="0.25">
      <c r="A25" s="112"/>
      <c r="B25" s="112"/>
      <c r="C25" s="112"/>
      <c r="D25" s="112"/>
      <c r="E25" s="112"/>
      <c r="F25" s="112"/>
      <c r="G25" s="22" t="s">
        <v>75</v>
      </c>
      <c r="H25" s="22" t="s">
        <v>63</v>
      </c>
      <c r="I25" s="22">
        <f>'MERCADO TE'!$U$22</f>
        <v>0</v>
      </c>
      <c r="J25" s="15"/>
      <c r="L25" s="20">
        <f>'TE BE'!$L$25*'TE BF'!$L$48</f>
        <v>0</v>
      </c>
      <c r="M25" s="20">
        <f>'TE BE'!$M$25*'TE BF'!$M$48</f>
        <v>0</v>
      </c>
      <c r="N25" s="20">
        <f>'TE BE'!$N$25*'TE BF'!$N$48</f>
        <v>0</v>
      </c>
      <c r="O25" s="20">
        <f>'TE BE'!$O$25*'TE BF'!$O$48</f>
        <v>0</v>
      </c>
      <c r="P25" s="20">
        <f>'TE BE'!$P$25*'TE BF'!$P$48</f>
        <v>0</v>
      </c>
      <c r="Q25" s="20">
        <f>SUM($L$25:$P$25)</f>
        <v>0</v>
      </c>
      <c r="R25" s="20">
        <f>'TE BE'!$R$25*'TE BF'!$R$48</f>
        <v>0</v>
      </c>
      <c r="S25" s="20">
        <f>SUM($R$25:$R$25)</f>
        <v>0</v>
      </c>
      <c r="T25" s="20">
        <f>'TE BE'!$T$25*'TE BF'!$T$48</f>
        <v>0</v>
      </c>
      <c r="U25" s="20">
        <f>'TE BE'!$U$25*'TE BF'!$U$48</f>
        <v>0</v>
      </c>
      <c r="V25" s="20">
        <f>'TE BE'!$V$25*'TE BF'!$V$48</f>
        <v>0</v>
      </c>
      <c r="W25" s="20">
        <f>SUM($T$25:$V$25)</f>
        <v>0</v>
      </c>
      <c r="X25" s="20">
        <f>'TE BE'!$AB$25*'TE BF'!$X$48</f>
        <v>0</v>
      </c>
      <c r="Y25" s="20">
        <f>SUM($X$25:$X$25)</f>
        <v>0</v>
      </c>
      <c r="Z25" s="20">
        <f>'TE BE'!$Z$25*'TE BF'!$Z$48</f>
        <v>0</v>
      </c>
      <c r="AA25" s="20">
        <f>SUM($Z$25:$Z$25)</f>
        <v>0</v>
      </c>
      <c r="AB25" s="20">
        <f>SUMIF($L$4:$AA$4,"SUBTOTAL",$L$25:$AA$25)</f>
        <v>0</v>
      </c>
    </row>
    <row r="26" spans="1:28" ht="11.25" customHeight="1" x14ac:dyDescent="0.25">
      <c r="A26" s="112"/>
      <c r="B26" s="112"/>
      <c r="C26" s="112"/>
      <c r="D26" s="112"/>
      <c r="E26" s="112"/>
      <c r="F26" s="112"/>
      <c r="G26" s="22" t="s">
        <v>65</v>
      </c>
      <c r="H26" s="22" t="s">
        <v>63</v>
      </c>
      <c r="I26" s="22">
        <f>'MERCADO TE'!$U$23</f>
        <v>0</v>
      </c>
      <c r="J26" s="15"/>
      <c r="L26" s="20">
        <f>'TE BE'!$L$26*'TE BF'!$L$48</f>
        <v>0</v>
      </c>
      <c r="M26" s="20">
        <f>'TE BE'!$M$26*'TE BF'!$M$48</f>
        <v>0</v>
      </c>
      <c r="N26" s="20">
        <f>'TE BE'!$N$26*'TE BF'!$N$48</f>
        <v>0</v>
      </c>
      <c r="O26" s="20">
        <f>'TE BE'!$O$26*'TE BF'!$O$48</f>
        <v>0</v>
      </c>
      <c r="P26" s="20">
        <f>'TE BE'!$P$26*'TE BF'!$P$48</f>
        <v>0</v>
      </c>
      <c r="Q26" s="20">
        <f>SUM($L$26:$P$26)</f>
        <v>0</v>
      </c>
      <c r="R26" s="20">
        <f>'TE BE'!$R$26*'TE BF'!$R$48</f>
        <v>0</v>
      </c>
      <c r="S26" s="20">
        <f>SUM($R$26:$R$26)</f>
        <v>0</v>
      </c>
      <c r="T26" s="20">
        <f>'TE BE'!$T$26*'TE BF'!$T$48</f>
        <v>0</v>
      </c>
      <c r="U26" s="20">
        <f>'TE BE'!$U$26*'TE BF'!$U$48</f>
        <v>0</v>
      </c>
      <c r="V26" s="20">
        <f>'TE BE'!$V$26*'TE BF'!$V$48</f>
        <v>0</v>
      </c>
      <c r="W26" s="20">
        <f>SUM($T$26:$V$26)</f>
        <v>0</v>
      </c>
      <c r="X26" s="20">
        <f>'TE BE'!$AB$26*'TE BF'!$X$48</f>
        <v>0</v>
      </c>
      <c r="Y26" s="20">
        <f>SUM($X$26:$X$26)</f>
        <v>0</v>
      </c>
      <c r="Z26" s="20">
        <f>'TE BE'!$Z$26*'TE BF'!$Z$48</f>
        <v>0</v>
      </c>
      <c r="AA26" s="20">
        <f>SUM($Z$26:$Z$26)</f>
        <v>0</v>
      </c>
      <c r="AB26" s="20">
        <f>SUMIF($L$4:$AA$4,"SUBTOTAL",$L$26:$AA$26)</f>
        <v>0</v>
      </c>
    </row>
    <row r="27" spans="1:28" ht="11.25" customHeight="1" x14ac:dyDescent="0.25">
      <c r="A27" s="112"/>
      <c r="B27" s="23" t="s">
        <v>76</v>
      </c>
      <c r="C27" s="23" t="s">
        <v>40</v>
      </c>
      <c r="D27" s="23" t="s">
        <v>80</v>
      </c>
      <c r="E27" s="23" t="s">
        <v>25</v>
      </c>
      <c r="F27" s="23" t="s">
        <v>25</v>
      </c>
      <c r="G27" s="22" t="s">
        <v>69</v>
      </c>
      <c r="H27" s="22" t="s">
        <v>63</v>
      </c>
      <c r="I27" s="22">
        <f>'MERCADO TE'!$U$24</f>
        <v>0</v>
      </c>
      <c r="J27" s="15"/>
      <c r="L27" s="20">
        <f>'TE BE'!$L$27*'TE BF'!$L$48</f>
        <v>0</v>
      </c>
      <c r="M27" s="20">
        <f>'TE BE'!$M$27*'TE BF'!$M$48</f>
        <v>0</v>
      </c>
      <c r="N27" s="20">
        <f>'TE BE'!$N$27*'TE BF'!$N$48</f>
        <v>0</v>
      </c>
      <c r="O27" s="20">
        <f>'TE BE'!$O$27*'TE BF'!$O$48</f>
        <v>0</v>
      </c>
      <c r="P27" s="20">
        <f>'TE BE'!$P$27*'TE BF'!$P$48</f>
        <v>0</v>
      </c>
      <c r="Q27" s="20">
        <f>SUM($L$27:$P$27)</f>
        <v>0</v>
      </c>
      <c r="R27" s="20">
        <f>'TE BE'!$R$27*'TE BF'!$R$48</f>
        <v>0</v>
      </c>
      <c r="S27" s="20">
        <f>SUM($R$27:$R$27)</f>
        <v>0</v>
      </c>
      <c r="T27" s="20">
        <f>'TE BE'!$T$27*'TE BF'!$T$48</f>
        <v>0</v>
      </c>
      <c r="U27" s="20">
        <f>'TE BE'!$U$27*'TE BF'!$U$48</f>
        <v>0</v>
      </c>
      <c r="V27" s="20">
        <f>'TE BE'!$V$27*'TE BF'!$V$48</f>
        <v>0</v>
      </c>
      <c r="W27" s="20">
        <f>SUM($T$27:$V$27)</f>
        <v>0</v>
      </c>
      <c r="X27" s="20">
        <f>'TE BE'!$AB$27*'TE BF'!$X$48</f>
        <v>0</v>
      </c>
      <c r="Y27" s="20">
        <f>SUM($X$27:$X$27)</f>
        <v>0</v>
      </c>
      <c r="Z27" s="20">
        <f>'TE BE'!$Z$27*'TE BF'!$Z$48</f>
        <v>0</v>
      </c>
      <c r="AA27" s="20">
        <f>SUM($Z$27:$Z$27)</f>
        <v>0</v>
      </c>
      <c r="AB27" s="20">
        <f>SUMIF($L$4:$AA$4,"SUBTOTAL",$L$27:$AA$27)</f>
        <v>0</v>
      </c>
    </row>
    <row r="28" spans="1:28" ht="11.25" customHeight="1" x14ac:dyDescent="0.25">
      <c r="A28" s="112"/>
      <c r="B28" s="112" t="s">
        <v>62</v>
      </c>
      <c r="C28" s="112" t="s">
        <v>40</v>
      </c>
      <c r="D28" s="112" t="s">
        <v>81</v>
      </c>
      <c r="E28" s="112" t="s">
        <v>25</v>
      </c>
      <c r="F28" s="112" t="s">
        <v>25</v>
      </c>
      <c r="G28" s="22" t="s">
        <v>64</v>
      </c>
      <c r="H28" s="22" t="s">
        <v>63</v>
      </c>
      <c r="I28" s="22">
        <f>'MERCADO TE'!$U$25</f>
        <v>0</v>
      </c>
      <c r="J28" s="15"/>
      <c r="L28" s="20">
        <f>'TE BE'!$L$28*'TE BF'!$L$48</f>
        <v>0</v>
      </c>
      <c r="M28" s="20">
        <f>'TE BE'!$M$28*'TE BF'!$M$48</f>
        <v>0</v>
      </c>
      <c r="N28" s="20">
        <f>'TE BE'!$N$28*'TE BF'!$N$48</f>
        <v>0</v>
      </c>
      <c r="O28" s="20">
        <f>'TE BE'!$O$28*'TE BF'!$O$48</f>
        <v>0</v>
      </c>
      <c r="P28" s="20">
        <f>'TE BE'!$P$28*'TE BF'!$P$48</f>
        <v>0</v>
      </c>
      <c r="Q28" s="20">
        <f>SUM($L$28:$P$28)</f>
        <v>0</v>
      </c>
      <c r="R28" s="20">
        <f>'TE BE'!$R$28*'TE BF'!$R$48</f>
        <v>0</v>
      </c>
      <c r="S28" s="20">
        <f>SUM($R$28:$R$28)</f>
        <v>0</v>
      </c>
      <c r="T28" s="20">
        <f>'TE BE'!$T$28*'TE BF'!$T$48</f>
        <v>0</v>
      </c>
      <c r="U28" s="20">
        <f>'TE BE'!$U$28*'TE BF'!$U$48</f>
        <v>0</v>
      </c>
      <c r="V28" s="20">
        <f>'TE BE'!$V$28*'TE BF'!$V$48</f>
        <v>0</v>
      </c>
      <c r="W28" s="20">
        <f>SUM($T$28:$V$28)</f>
        <v>0</v>
      </c>
      <c r="X28" s="20">
        <f>'TE BE'!$AB$28*'TE BF'!$X$48</f>
        <v>0</v>
      </c>
      <c r="Y28" s="20">
        <f>SUM($X$28:$X$28)</f>
        <v>0</v>
      </c>
      <c r="Z28" s="20">
        <f>'TE BE'!$Z$28*'TE BF'!$Z$48</f>
        <v>0</v>
      </c>
      <c r="AA28" s="20">
        <f>SUM($Z$28:$Z$28)</f>
        <v>0</v>
      </c>
      <c r="AB28" s="20">
        <f>SUMIF($L$4:$AA$4,"SUBTOTAL",$L$28:$AA$28)</f>
        <v>0</v>
      </c>
    </row>
    <row r="29" spans="1:28" ht="11.25" customHeight="1" x14ac:dyDescent="0.25">
      <c r="A29" s="112"/>
      <c r="B29" s="112"/>
      <c r="C29" s="112"/>
      <c r="D29" s="112"/>
      <c r="E29" s="112"/>
      <c r="F29" s="112"/>
      <c r="G29" s="22" t="s">
        <v>75</v>
      </c>
      <c r="H29" s="22" t="s">
        <v>63</v>
      </c>
      <c r="I29" s="22">
        <f>'MERCADO TE'!$U$26</f>
        <v>0</v>
      </c>
      <c r="J29" s="15"/>
      <c r="L29" s="20">
        <f>'TE BE'!$L$29*'TE BF'!$L$48</f>
        <v>0</v>
      </c>
      <c r="M29" s="20">
        <f>'TE BE'!$M$29*'TE BF'!$M$48</f>
        <v>0</v>
      </c>
      <c r="N29" s="20">
        <f>'TE BE'!$N$29*'TE BF'!$N$48</f>
        <v>0</v>
      </c>
      <c r="O29" s="20">
        <f>'TE BE'!$O$29*'TE BF'!$O$48</f>
        <v>0</v>
      </c>
      <c r="P29" s="20">
        <f>'TE BE'!$P$29*'TE BF'!$P$48</f>
        <v>0</v>
      </c>
      <c r="Q29" s="20">
        <f>SUM($L$29:$P$29)</f>
        <v>0</v>
      </c>
      <c r="R29" s="20">
        <f>'TE BE'!$R$29*'TE BF'!$R$48</f>
        <v>0</v>
      </c>
      <c r="S29" s="20">
        <f>SUM($R$29:$R$29)</f>
        <v>0</v>
      </c>
      <c r="T29" s="20">
        <f>'TE BE'!$T$29*'TE BF'!$T$48</f>
        <v>0</v>
      </c>
      <c r="U29" s="20">
        <f>'TE BE'!$U$29*'TE BF'!$U$48</f>
        <v>0</v>
      </c>
      <c r="V29" s="20">
        <f>'TE BE'!$V$29*'TE BF'!$V$48</f>
        <v>0</v>
      </c>
      <c r="W29" s="20">
        <f>SUM($T$29:$V$29)</f>
        <v>0</v>
      </c>
      <c r="X29" s="20">
        <f>'TE BE'!$AB$29*'TE BF'!$X$48</f>
        <v>0</v>
      </c>
      <c r="Y29" s="20">
        <f>SUM($X$29:$X$29)</f>
        <v>0</v>
      </c>
      <c r="Z29" s="20">
        <f>'TE BE'!$Z$29*'TE BF'!$Z$48</f>
        <v>0</v>
      </c>
      <c r="AA29" s="20">
        <f>SUM($Z$29:$Z$29)</f>
        <v>0</v>
      </c>
      <c r="AB29" s="20">
        <f>SUMIF($L$4:$AA$4,"SUBTOTAL",$L$29:$AA$29)</f>
        <v>0</v>
      </c>
    </row>
    <row r="30" spans="1:28" ht="11.25" customHeight="1" x14ac:dyDescent="0.25">
      <c r="A30" s="112"/>
      <c r="B30" s="112"/>
      <c r="C30" s="112"/>
      <c r="D30" s="112"/>
      <c r="E30" s="112"/>
      <c r="F30" s="112"/>
      <c r="G30" s="22" t="s">
        <v>65</v>
      </c>
      <c r="H30" s="22" t="s">
        <v>63</v>
      </c>
      <c r="I30" s="22">
        <f>'MERCADO TE'!$U$27</f>
        <v>0</v>
      </c>
      <c r="J30" s="15"/>
      <c r="L30" s="20">
        <f>'TE BE'!$L$30*'TE BF'!$L$48</f>
        <v>0</v>
      </c>
      <c r="M30" s="20">
        <f>'TE BE'!$M$30*'TE BF'!$M$48</f>
        <v>0</v>
      </c>
      <c r="N30" s="20">
        <f>'TE BE'!$N$30*'TE BF'!$N$48</f>
        <v>0</v>
      </c>
      <c r="O30" s="20">
        <f>'TE BE'!$O$30*'TE BF'!$O$48</f>
        <v>0</v>
      </c>
      <c r="P30" s="20">
        <f>'TE BE'!$P$30*'TE BF'!$P$48</f>
        <v>0</v>
      </c>
      <c r="Q30" s="20">
        <f>SUM($L$30:$P$30)</f>
        <v>0</v>
      </c>
      <c r="R30" s="20">
        <f>'TE BE'!$R$30*'TE BF'!$R$48</f>
        <v>0</v>
      </c>
      <c r="S30" s="20">
        <f>SUM($R$30:$R$30)</f>
        <v>0</v>
      </c>
      <c r="T30" s="20">
        <f>'TE BE'!$T$30*'TE BF'!$T$48</f>
        <v>0</v>
      </c>
      <c r="U30" s="20">
        <f>'TE BE'!$U$30*'TE BF'!$U$48</f>
        <v>0</v>
      </c>
      <c r="V30" s="20">
        <f>'TE BE'!$V$30*'TE BF'!$V$48</f>
        <v>0</v>
      </c>
      <c r="W30" s="20">
        <f>SUM($T$30:$V$30)</f>
        <v>0</v>
      </c>
      <c r="X30" s="20">
        <f>'TE BE'!$AB$30*'TE BF'!$X$48</f>
        <v>0</v>
      </c>
      <c r="Y30" s="20">
        <f>SUM($X$30:$X$30)</f>
        <v>0</v>
      </c>
      <c r="Z30" s="20">
        <f>'TE BE'!$Z$30*'TE BF'!$Z$48</f>
        <v>0</v>
      </c>
      <c r="AA30" s="20">
        <f>SUM($Z$30:$Z$30)</f>
        <v>0</v>
      </c>
      <c r="AB30" s="20">
        <f>SUMIF($L$4:$AA$4,"SUBTOTAL",$L$30:$AA$30)</f>
        <v>0</v>
      </c>
    </row>
    <row r="31" spans="1:28" ht="11.25" customHeight="1" x14ac:dyDescent="0.25">
      <c r="A31" s="112"/>
      <c r="B31" s="23" t="s">
        <v>76</v>
      </c>
      <c r="C31" s="23" t="s">
        <v>40</v>
      </c>
      <c r="D31" s="23" t="s">
        <v>81</v>
      </c>
      <c r="E31" s="23" t="s">
        <v>25</v>
      </c>
      <c r="F31" s="23" t="s">
        <v>25</v>
      </c>
      <c r="G31" s="22" t="s">
        <v>69</v>
      </c>
      <c r="H31" s="22" t="s">
        <v>63</v>
      </c>
      <c r="I31" s="22">
        <f>'MERCADO TE'!$U$28</f>
        <v>0</v>
      </c>
      <c r="J31" s="15"/>
      <c r="L31" s="20">
        <f>'TE BE'!$L$31*'TE BF'!$L$48</f>
        <v>0</v>
      </c>
      <c r="M31" s="20">
        <f>'TE BE'!$M$31*'TE BF'!$M$48</f>
        <v>0</v>
      </c>
      <c r="N31" s="20">
        <f>'TE BE'!$N$31*'TE BF'!$N$48</f>
        <v>0</v>
      </c>
      <c r="O31" s="20">
        <f>'TE BE'!$O$31*'TE BF'!$O$48</f>
        <v>0</v>
      </c>
      <c r="P31" s="20">
        <f>'TE BE'!$P$31*'TE BF'!$P$48</f>
        <v>0</v>
      </c>
      <c r="Q31" s="20">
        <f>SUM($L$31:$P$31)</f>
        <v>0</v>
      </c>
      <c r="R31" s="20">
        <f>'TE BE'!$R$31*'TE BF'!$R$48</f>
        <v>0</v>
      </c>
      <c r="S31" s="20">
        <f>SUM($R$31:$R$31)</f>
        <v>0</v>
      </c>
      <c r="T31" s="20">
        <f>'TE BE'!$T$31*'TE BF'!$T$48</f>
        <v>0</v>
      </c>
      <c r="U31" s="20">
        <f>'TE BE'!$U$31*'TE BF'!$U$48</f>
        <v>0</v>
      </c>
      <c r="V31" s="20">
        <f>'TE BE'!$V$31*'TE BF'!$V$48</f>
        <v>0</v>
      </c>
      <c r="W31" s="20">
        <f>SUM($T$31:$V$31)</f>
        <v>0</v>
      </c>
      <c r="X31" s="20">
        <f>'TE BE'!$AB$31*'TE BF'!$X$48</f>
        <v>0</v>
      </c>
      <c r="Y31" s="20">
        <f>SUM($X$31:$X$31)</f>
        <v>0</v>
      </c>
      <c r="Z31" s="20">
        <f>'TE BE'!$Z$31*'TE BF'!$Z$48</f>
        <v>0</v>
      </c>
      <c r="AA31" s="20">
        <f>SUM($Z$31:$Z$31)</f>
        <v>0</v>
      </c>
      <c r="AB31" s="20">
        <f>SUMIF($L$4:$AA$4,"SUBTOTAL",$L$31:$AA$31)</f>
        <v>0</v>
      </c>
    </row>
    <row r="32" spans="1:28" ht="11.25" customHeight="1" x14ac:dyDescent="0.25">
      <c r="A32" s="112"/>
      <c r="B32" s="112" t="s">
        <v>78</v>
      </c>
      <c r="C32" s="112" t="s">
        <v>40</v>
      </c>
      <c r="D32" s="23" t="s">
        <v>25</v>
      </c>
      <c r="E32" s="23" t="s">
        <v>25</v>
      </c>
      <c r="F32" s="23" t="s">
        <v>25</v>
      </c>
      <c r="G32" s="22" t="s">
        <v>69</v>
      </c>
      <c r="H32" s="22" t="s">
        <v>63</v>
      </c>
      <c r="I32" s="22">
        <f>'MERCADO TE'!$U$29</f>
        <v>0</v>
      </c>
      <c r="J32" s="15"/>
      <c r="L32" s="20">
        <f>'TE BE'!$L$32*'TE BF'!$L$48</f>
        <v>0</v>
      </c>
      <c r="M32" s="20">
        <f>'TE BE'!$M$32*'TE BF'!$M$48</f>
        <v>0</v>
      </c>
      <c r="N32" s="20">
        <f>'TE BE'!$N$32*'TE BF'!$N$48</f>
        <v>0</v>
      </c>
      <c r="O32" s="20">
        <f>'TE BE'!$O$32*'TE BF'!$O$48</f>
        <v>0</v>
      </c>
      <c r="P32" s="20">
        <f>'TE BE'!$P$32*'TE BF'!$P$48</f>
        <v>0</v>
      </c>
      <c r="Q32" s="20">
        <f>SUM($L$32:$P$32)</f>
        <v>0</v>
      </c>
      <c r="R32" s="20">
        <f>'TE BE'!$R$32*'TE BF'!$R$48</f>
        <v>0</v>
      </c>
      <c r="S32" s="20">
        <f>SUM($R$32:$R$32)</f>
        <v>0</v>
      </c>
      <c r="T32" s="20">
        <f>'TE BE'!$T$32*'TE BF'!$T$48</f>
        <v>0</v>
      </c>
      <c r="U32" s="20">
        <f>'TE BE'!$U$32*'TE BF'!$U$48</f>
        <v>0</v>
      </c>
      <c r="V32" s="20">
        <f>'TE BE'!$V$32*'TE BF'!$V$48</f>
        <v>0</v>
      </c>
      <c r="W32" s="20">
        <f>SUM($T$32:$V$32)</f>
        <v>0</v>
      </c>
      <c r="X32" s="20">
        <f>'TE BE'!$AB$32*'TE BF'!$X$48</f>
        <v>0</v>
      </c>
      <c r="Y32" s="20">
        <f>SUM($X$32:$X$32)</f>
        <v>0</v>
      </c>
      <c r="Z32" s="20">
        <f>'TE BE'!$Z$32*'TE BF'!$Z$48</f>
        <v>0</v>
      </c>
      <c r="AA32" s="20">
        <f>SUM($Z$32:$Z$32)</f>
        <v>0</v>
      </c>
      <c r="AB32" s="20">
        <f>SUMIF($L$4:$AA$4,"SUBTOTAL",$L$32:$AA$32)</f>
        <v>0</v>
      </c>
    </row>
    <row r="33" spans="1:28" ht="11.25" customHeight="1" x14ac:dyDescent="0.25">
      <c r="A33" s="112"/>
      <c r="B33" s="112"/>
      <c r="C33" s="112"/>
      <c r="D33" s="23" t="s">
        <v>80</v>
      </c>
      <c r="E33" s="23" t="s">
        <v>25</v>
      </c>
      <c r="F33" s="23" t="s">
        <v>25</v>
      </c>
      <c r="G33" s="22" t="s">
        <v>69</v>
      </c>
      <c r="H33" s="22" t="s">
        <v>63</v>
      </c>
      <c r="I33" s="22">
        <f>'MERCADO TE'!$U$30</f>
        <v>0</v>
      </c>
      <c r="J33" s="15"/>
      <c r="L33" s="20">
        <f>'TE BE'!$L$33*'TE BF'!$L$48</f>
        <v>0</v>
      </c>
      <c r="M33" s="20">
        <f>'TE BE'!$M$33*'TE BF'!$M$48</f>
        <v>0</v>
      </c>
      <c r="N33" s="20">
        <f>'TE BE'!$N$33*'TE BF'!$N$48</f>
        <v>0</v>
      </c>
      <c r="O33" s="20">
        <f>'TE BE'!$O$33*'TE BF'!$O$48</f>
        <v>0</v>
      </c>
      <c r="P33" s="20">
        <f>'TE BE'!$P$33*'TE BF'!$P$48</f>
        <v>0</v>
      </c>
      <c r="Q33" s="20">
        <f>SUM($L$33:$P$33)</f>
        <v>0</v>
      </c>
      <c r="R33" s="20">
        <f>'TE BE'!$R$33*'TE BF'!$R$48</f>
        <v>0</v>
      </c>
      <c r="S33" s="20">
        <f>SUM($R$33:$R$33)</f>
        <v>0</v>
      </c>
      <c r="T33" s="20">
        <f>'TE BE'!$T$33*'TE BF'!$T$48</f>
        <v>0</v>
      </c>
      <c r="U33" s="20">
        <f>'TE BE'!$U$33*'TE BF'!$U$48</f>
        <v>0</v>
      </c>
      <c r="V33" s="20">
        <f>'TE BE'!$V$33*'TE BF'!$V$48</f>
        <v>0</v>
      </c>
      <c r="W33" s="20">
        <f>SUM($T$33:$V$33)</f>
        <v>0</v>
      </c>
      <c r="X33" s="20">
        <f>'TE BE'!$AB$33*'TE BF'!$X$48</f>
        <v>0</v>
      </c>
      <c r="Y33" s="20">
        <f>SUM($X$33:$X$33)</f>
        <v>0</v>
      </c>
      <c r="Z33" s="20">
        <f>'TE BE'!$Z$33*'TE BF'!$Z$48</f>
        <v>0</v>
      </c>
      <c r="AA33" s="20">
        <f>SUM($Z$33:$Z$33)</f>
        <v>0</v>
      </c>
      <c r="AB33" s="20">
        <f>SUMIF($L$4:$AA$4,"SUBTOTAL",$L$33:$AA$33)</f>
        <v>0</v>
      </c>
    </row>
    <row r="34" spans="1:28" ht="11.25" customHeight="1" x14ac:dyDescent="0.25">
      <c r="A34" s="112"/>
      <c r="B34" s="112"/>
      <c r="C34" s="112"/>
      <c r="D34" s="23" t="s">
        <v>81</v>
      </c>
      <c r="E34" s="23" t="s">
        <v>25</v>
      </c>
      <c r="F34" s="23" t="s">
        <v>25</v>
      </c>
      <c r="G34" s="22" t="s">
        <v>69</v>
      </c>
      <c r="H34" s="22" t="s">
        <v>63</v>
      </c>
      <c r="I34" s="22">
        <f>'MERCADO TE'!$U$31</f>
        <v>0</v>
      </c>
      <c r="J34" s="15"/>
      <c r="L34" s="20">
        <f>'TE BE'!$L$34*'TE BF'!$L$48</f>
        <v>0</v>
      </c>
      <c r="M34" s="20">
        <f>'TE BE'!$M$34*'TE BF'!$M$48</f>
        <v>0</v>
      </c>
      <c r="N34" s="20">
        <f>'TE BE'!$N$34*'TE BF'!$N$48</f>
        <v>0</v>
      </c>
      <c r="O34" s="20">
        <f>'TE BE'!$O$34*'TE BF'!$O$48</f>
        <v>0</v>
      </c>
      <c r="P34" s="20">
        <f>'TE BE'!$P$34*'TE BF'!$P$48</f>
        <v>0</v>
      </c>
      <c r="Q34" s="20">
        <f>SUM($L$34:$P$34)</f>
        <v>0</v>
      </c>
      <c r="R34" s="20">
        <f>'TE BE'!$R$34*'TE BF'!$R$48</f>
        <v>0</v>
      </c>
      <c r="S34" s="20">
        <f>SUM($R$34:$R$34)</f>
        <v>0</v>
      </c>
      <c r="T34" s="20">
        <f>'TE BE'!$T$34*'TE BF'!$T$48</f>
        <v>0</v>
      </c>
      <c r="U34" s="20">
        <f>'TE BE'!$U$34*'TE BF'!$U$48</f>
        <v>0</v>
      </c>
      <c r="V34" s="20">
        <f>'TE BE'!$V$34*'TE BF'!$V$48</f>
        <v>0</v>
      </c>
      <c r="W34" s="20">
        <f>SUM($T$34:$V$34)</f>
        <v>0</v>
      </c>
      <c r="X34" s="20">
        <f>'TE BE'!$AB$34*'TE BF'!$X$48</f>
        <v>0</v>
      </c>
      <c r="Y34" s="20">
        <f>SUM($X$34:$X$34)</f>
        <v>0</v>
      </c>
      <c r="Z34" s="20">
        <f>'TE BE'!$Z$34*'TE BF'!$Z$48</f>
        <v>0</v>
      </c>
      <c r="AA34" s="20">
        <f>SUM($Z$34:$Z$34)</f>
        <v>0</v>
      </c>
      <c r="AB34" s="20">
        <f>SUMIF($L$4:$AA$4,"SUBTOTAL",$L$34:$AA$34)</f>
        <v>0</v>
      </c>
    </row>
    <row r="35" spans="1:28" ht="11.25" customHeight="1" x14ac:dyDescent="0.25">
      <c r="A35" s="112" t="s">
        <v>31</v>
      </c>
      <c r="B35" s="112" t="s">
        <v>62</v>
      </c>
      <c r="C35" s="112" t="s">
        <v>25</v>
      </c>
      <c r="D35" s="112" t="s">
        <v>25</v>
      </c>
      <c r="E35" s="112" t="s">
        <v>25</v>
      </c>
      <c r="F35" s="112" t="s">
        <v>25</v>
      </c>
      <c r="G35" s="22" t="s">
        <v>64</v>
      </c>
      <c r="H35" s="22" t="s">
        <v>63</v>
      </c>
      <c r="I35" s="22">
        <f>'MERCADO TE'!$U$32</f>
        <v>0</v>
      </c>
      <c r="J35" s="15"/>
      <c r="L35" s="20">
        <f>'TE BE'!$L$35*'TE BF'!$L$48</f>
        <v>0</v>
      </c>
      <c r="M35" s="20">
        <f>'TE BE'!$M$35*'TE BF'!$M$48</f>
        <v>0</v>
      </c>
      <c r="N35" s="20">
        <f>'TE BE'!$N$35*'TE BF'!$N$48</f>
        <v>0</v>
      </c>
      <c r="O35" s="20">
        <f>'TE BE'!$O$35*'TE BF'!$O$48</f>
        <v>0</v>
      </c>
      <c r="P35" s="20">
        <f>'TE BE'!$P$35*'TE BF'!$P$48</f>
        <v>0</v>
      </c>
      <c r="Q35" s="20">
        <f>SUM($L$35:$P$35)</f>
        <v>0</v>
      </c>
      <c r="R35" s="20">
        <f>'TE BE'!$R$35*'TE BF'!$R$48</f>
        <v>0</v>
      </c>
      <c r="S35" s="20">
        <f>SUM($R$35:$R$35)</f>
        <v>0</v>
      </c>
      <c r="T35" s="20">
        <f>'TE BE'!$T$35*'TE BF'!$T$48</f>
        <v>0</v>
      </c>
      <c r="U35" s="20">
        <f>'TE BE'!$U$35*'TE BF'!$U$48</f>
        <v>0</v>
      </c>
      <c r="V35" s="20">
        <f>'TE BE'!$V$35*'TE BF'!$V$48</f>
        <v>0</v>
      </c>
      <c r="W35" s="20">
        <f>SUM($T$35:$V$35)</f>
        <v>0</v>
      </c>
      <c r="X35" s="20">
        <f>'TE BE'!$AB$35*'TE BF'!$X$48</f>
        <v>0</v>
      </c>
      <c r="Y35" s="20">
        <f>SUM($X$35:$X$35)</f>
        <v>0</v>
      </c>
      <c r="Z35" s="20">
        <f>'TE BE'!$Z$35*'TE BF'!$Z$48</f>
        <v>0</v>
      </c>
      <c r="AA35" s="20">
        <f>SUM($Z$35:$Z$35)</f>
        <v>0</v>
      </c>
      <c r="AB35" s="20">
        <f>SUMIF($L$4:$AA$4,"SUBTOTAL",$L$35:$AA$35)</f>
        <v>0</v>
      </c>
    </row>
    <row r="36" spans="1:28" ht="11.25" customHeight="1" x14ac:dyDescent="0.25">
      <c r="A36" s="112"/>
      <c r="B36" s="112"/>
      <c r="C36" s="112"/>
      <c r="D36" s="112"/>
      <c r="E36" s="112"/>
      <c r="F36" s="112"/>
      <c r="G36" s="22" t="s">
        <v>75</v>
      </c>
      <c r="H36" s="22" t="s">
        <v>63</v>
      </c>
      <c r="I36" s="22">
        <f>'MERCADO TE'!$U$33</f>
        <v>0</v>
      </c>
      <c r="J36" s="15"/>
      <c r="L36" s="20">
        <f>'TE BE'!$L$36*'TE BF'!$L$48</f>
        <v>0</v>
      </c>
      <c r="M36" s="20">
        <f>'TE BE'!$M$36*'TE BF'!$M$48</f>
        <v>0</v>
      </c>
      <c r="N36" s="20">
        <f>'TE BE'!$N$36*'TE BF'!$N$48</f>
        <v>0</v>
      </c>
      <c r="O36" s="20">
        <f>'TE BE'!$O$36*'TE BF'!$O$48</f>
        <v>0</v>
      </c>
      <c r="P36" s="20">
        <f>'TE BE'!$P$36*'TE BF'!$P$48</f>
        <v>0</v>
      </c>
      <c r="Q36" s="20">
        <f>SUM($L$36:$P$36)</f>
        <v>0</v>
      </c>
      <c r="R36" s="20">
        <f>'TE BE'!$R$36*'TE BF'!$R$48</f>
        <v>0</v>
      </c>
      <c r="S36" s="20">
        <f>SUM($R$36:$R$36)</f>
        <v>0</v>
      </c>
      <c r="T36" s="20">
        <f>'TE BE'!$T$36*'TE BF'!$T$48</f>
        <v>0</v>
      </c>
      <c r="U36" s="20">
        <f>'TE BE'!$U$36*'TE BF'!$U$48</f>
        <v>0</v>
      </c>
      <c r="V36" s="20">
        <f>'TE BE'!$V$36*'TE BF'!$V$48</f>
        <v>0</v>
      </c>
      <c r="W36" s="20">
        <f>SUM($T$36:$V$36)</f>
        <v>0</v>
      </c>
      <c r="X36" s="20">
        <f>'TE BE'!$AB$36*'TE BF'!$X$48</f>
        <v>0</v>
      </c>
      <c r="Y36" s="20">
        <f>SUM($X$36:$X$36)</f>
        <v>0</v>
      </c>
      <c r="Z36" s="20">
        <f>'TE BE'!$Z$36*'TE BF'!$Z$48</f>
        <v>0</v>
      </c>
      <c r="AA36" s="20">
        <f>SUM($Z$36:$Z$36)</f>
        <v>0</v>
      </c>
      <c r="AB36" s="20">
        <f>SUMIF($L$4:$AA$4,"SUBTOTAL",$L$36:$AA$36)</f>
        <v>0</v>
      </c>
    </row>
    <row r="37" spans="1:28" ht="11.25" customHeight="1" x14ac:dyDescent="0.25">
      <c r="A37" s="112"/>
      <c r="B37" s="112"/>
      <c r="C37" s="112"/>
      <c r="D37" s="112"/>
      <c r="E37" s="112"/>
      <c r="F37" s="112"/>
      <c r="G37" s="22" t="s">
        <v>65</v>
      </c>
      <c r="H37" s="22" t="s">
        <v>63</v>
      </c>
      <c r="I37" s="22">
        <f>'MERCADO TE'!$U$34</f>
        <v>0</v>
      </c>
      <c r="J37" s="15"/>
      <c r="L37" s="20">
        <f>'TE BE'!$L$37*'TE BF'!$L$48</f>
        <v>0</v>
      </c>
      <c r="M37" s="20">
        <f>'TE BE'!$M$37*'TE BF'!$M$48</f>
        <v>0</v>
      </c>
      <c r="N37" s="20">
        <f>'TE BE'!$N$37*'TE BF'!$N$48</f>
        <v>0</v>
      </c>
      <c r="O37" s="20">
        <f>'TE BE'!$O$37*'TE BF'!$O$48</f>
        <v>0</v>
      </c>
      <c r="P37" s="20">
        <f>'TE BE'!$P$37*'TE BF'!$P$48</f>
        <v>0</v>
      </c>
      <c r="Q37" s="20">
        <f>SUM($L$37:$P$37)</f>
        <v>0</v>
      </c>
      <c r="R37" s="20">
        <f>'TE BE'!$R$37*'TE BF'!$R$48</f>
        <v>0</v>
      </c>
      <c r="S37" s="20">
        <f>SUM($R$37:$R$37)</f>
        <v>0</v>
      </c>
      <c r="T37" s="20">
        <f>'TE BE'!$T$37*'TE BF'!$T$48</f>
        <v>0</v>
      </c>
      <c r="U37" s="20">
        <f>'TE BE'!$U$37*'TE BF'!$U$48</f>
        <v>0</v>
      </c>
      <c r="V37" s="20">
        <f>'TE BE'!$V$37*'TE BF'!$V$48</f>
        <v>0</v>
      </c>
      <c r="W37" s="20">
        <f>SUM($T$37:$V$37)</f>
        <v>0</v>
      </c>
      <c r="X37" s="20">
        <f>'TE BE'!$AB$37*'TE BF'!$X$48</f>
        <v>0</v>
      </c>
      <c r="Y37" s="20">
        <f>SUM($X$37:$X$37)</f>
        <v>0</v>
      </c>
      <c r="Z37" s="20">
        <f>'TE BE'!$Z$37*'TE BF'!$Z$48</f>
        <v>0</v>
      </c>
      <c r="AA37" s="20">
        <f>SUM($Z$37:$Z$37)</f>
        <v>0</v>
      </c>
      <c r="AB37" s="20">
        <f>SUMIF($L$4:$AA$4,"SUBTOTAL",$L$37:$AA$37)</f>
        <v>0</v>
      </c>
    </row>
    <row r="38" spans="1:28" ht="11.25" customHeight="1" x14ac:dyDescent="0.25">
      <c r="A38" s="112"/>
      <c r="B38" s="23" t="s">
        <v>76</v>
      </c>
      <c r="C38" s="23" t="s">
        <v>25</v>
      </c>
      <c r="D38" s="23" t="s">
        <v>25</v>
      </c>
      <c r="E38" s="23" t="s">
        <v>25</v>
      </c>
      <c r="F38" s="23" t="s">
        <v>25</v>
      </c>
      <c r="G38" s="22" t="s">
        <v>69</v>
      </c>
      <c r="H38" s="22" t="s">
        <v>63</v>
      </c>
      <c r="I38" s="22">
        <f>'MERCADO TE'!$U$35</f>
        <v>1376.9240000000002</v>
      </c>
      <c r="J38" s="15"/>
      <c r="L38" s="20">
        <f>'TE BE'!$L$38*'TE BF'!$L$48</f>
        <v>0</v>
      </c>
      <c r="M38" s="20">
        <f>'TE BE'!$M$38*'TE BF'!$M$48</f>
        <v>0</v>
      </c>
      <c r="N38" s="20">
        <f>'TE BE'!$N$38*'TE BF'!$N$48</f>
        <v>0</v>
      </c>
      <c r="O38" s="20">
        <f>'TE BE'!$O$38*'TE BF'!$O$48</f>
        <v>0</v>
      </c>
      <c r="P38" s="20">
        <f>'TE BE'!$P$38*'TE BF'!$P$48</f>
        <v>0</v>
      </c>
      <c r="Q38" s="20">
        <f>SUM($L$38:$P$38)</f>
        <v>0</v>
      </c>
      <c r="R38" s="20">
        <f>'TE BE'!$R$38*'TE BF'!$R$48</f>
        <v>0</v>
      </c>
      <c r="S38" s="20">
        <f>SUM($R$38:$R$38)</f>
        <v>0</v>
      </c>
      <c r="T38" s="20">
        <f>'TE BE'!$T$38*'TE BF'!$T$48</f>
        <v>0</v>
      </c>
      <c r="U38" s="20">
        <f>'TE BE'!$U$38*'TE BF'!$U$48</f>
        <v>0</v>
      </c>
      <c r="V38" s="20">
        <f>'TE BE'!$V$38*'TE BF'!$V$48</f>
        <v>0</v>
      </c>
      <c r="W38" s="20">
        <f>SUM($T$38:$V$38)</f>
        <v>0</v>
      </c>
      <c r="X38" s="20">
        <f>'TE BE'!$AB$38*'TE BF'!$X$48</f>
        <v>0</v>
      </c>
      <c r="Y38" s="20">
        <f>SUM($X$38:$X$38)</f>
        <v>0</v>
      </c>
      <c r="Z38" s="20">
        <f>'TE BE'!$Z$38*'TE BF'!$Z$48</f>
        <v>0</v>
      </c>
      <c r="AA38" s="20">
        <f>SUM($Z$38:$Z$38)</f>
        <v>0</v>
      </c>
      <c r="AB38" s="20">
        <f>SUMIF($L$4:$AA$4,"SUBTOTAL",$L$38:$AA$38)</f>
        <v>0</v>
      </c>
    </row>
    <row r="39" spans="1:28" ht="11.25" customHeight="1" x14ac:dyDescent="0.25">
      <c r="A39" s="112"/>
      <c r="B39" s="23" t="s">
        <v>78</v>
      </c>
      <c r="C39" s="23" t="s">
        <v>25</v>
      </c>
      <c r="D39" s="23" t="s">
        <v>25</v>
      </c>
      <c r="E39" s="23" t="s">
        <v>25</v>
      </c>
      <c r="F39" s="23" t="s">
        <v>25</v>
      </c>
      <c r="G39" s="22" t="s">
        <v>69</v>
      </c>
      <c r="H39" s="22" t="s">
        <v>63</v>
      </c>
      <c r="I39" s="22">
        <f>'MERCADO TE'!$U$36</f>
        <v>0</v>
      </c>
      <c r="J39" s="15"/>
      <c r="L39" s="20">
        <f>'TE BE'!$L$39*'TE BF'!$L$48</f>
        <v>0</v>
      </c>
      <c r="M39" s="20">
        <f>'TE BE'!$M$39*'TE BF'!$M$48</f>
        <v>0</v>
      </c>
      <c r="N39" s="20">
        <f>'TE BE'!$N$39*'TE BF'!$N$48</f>
        <v>0</v>
      </c>
      <c r="O39" s="20">
        <f>'TE BE'!$O$39*'TE BF'!$O$48</f>
        <v>0</v>
      </c>
      <c r="P39" s="20">
        <f>'TE BE'!$P$39*'TE BF'!$P$48</f>
        <v>0</v>
      </c>
      <c r="Q39" s="20">
        <f>SUM($L$39:$P$39)</f>
        <v>0</v>
      </c>
      <c r="R39" s="20">
        <f>'TE BE'!$R$39*'TE BF'!$R$48</f>
        <v>0</v>
      </c>
      <c r="S39" s="20">
        <f>SUM($R$39:$R$39)</f>
        <v>0</v>
      </c>
      <c r="T39" s="20">
        <f>'TE BE'!$T$39*'TE BF'!$T$48</f>
        <v>0</v>
      </c>
      <c r="U39" s="20">
        <f>'TE BE'!$U$39*'TE BF'!$U$48</f>
        <v>0</v>
      </c>
      <c r="V39" s="20">
        <f>'TE BE'!$V$39*'TE BF'!$V$48</f>
        <v>0</v>
      </c>
      <c r="W39" s="20">
        <f>SUM($T$39:$V$39)</f>
        <v>0</v>
      </c>
      <c r="X39" s="20">
        <f>'TE BE'!$AB$39*'TE BF'!$X$48</f>
        <v>0</v>
      </c>
      <c r="Y39" s="20">
        <f>SUM($X$39:$X$39)</f>
        <v>0</v>
      </c>
      <c r="Z39" s="20">
        <f>'TE BE'!$Z$39*'TE BF'!$Z$48</f>
        <v>0</v>
      </c>
      <c r="AA39" s="20">
        <f>SUM($Z$39:$Z$39)</f>
        <v>0</v>
      </c>
      <c r="AB39" s="20">
        <f>SUMIF($L$4:$AA$4,"SUBTOTAL",$L$39:$AA$39)</f>
        <v>0</v>
      </c>
    </row>
    <row r="40" spans="1:28" ht="11.25" customHeight="1" x14ac:dyDescent="0.25">
      <c r="A40" s="112" t="s">
        <v>42</v>
      </c>
      <c r="B40" s="112" t="s">
        <v>76</v>
      </c>
      <c r="C40" s="112" t="s">
        <v>43</v>
      </c>
      <c r="D40" s="23" t="s">
        <v>82</v>
      </c>
      <c r="E40" s="23" t="s">
        <v>25</v>
      </c>
      <c r="F40" s="23" t="s">
        <v>25</v>
      </c>
      <c r="G40" s="22" t="s">
        <v>69</v>
      </c>
      <c r="H40" s="22" t="s">
        <v>63</v>
      </c>
      <c r="I40" s="22">
        <f>'MERCADO TE'!$U$37</f>
        <v>0</v>
      </c>
      <c r="J40" s="15"/>
      <c r="L40" s="20">
        <f>'TE BE'!$L$40*'TE BF'!$L$48</f>
        <v>0</v>
      </c>
      <c r="M40" s="20">
        <f>'TE BE'!$M$40*'TE BF'!$M$48</f>
        <v>0</v>
      </c>
      <c r="N40" s="20">
        <f>'TE BE'!$N$40*'TE BF'!$N$48</f>
        <v>0</v>
      </c>
      <c r="O40" s="20">
        <f>'TE BE'!$O$40*'TE BF'!$O$48</f>
        <v>0</v>
      </c>
      <c r="P40" s="20">
        <f>'TE BE'!$P$40*'TE BF'!$P$48</f>
        <v>0</v>
      </c>
      <c r="Q40" s="20">
        <f>SUM($L$40:$P$40)</f>
        <v>0</v>
      </c>
      <c r="R40" s="20">
        <f>'TE BE'!$R$40*'TE BF'!$R$48</f>
        <v>0</v>
      </c>
      <c r="S40" s="20">
        <f>SUM($R$40:$R$40)</f>
        <v>0</v>
      </c>
      <c r="T40" s="20">
        <f>'TE BE'!$T$40*'TE BF'!$T$48</f>
        <v>0</v>
      </c>
      <c r="U40" s="20">
        <f>'TE BE'!$U$40*'TE BF'!$U$48</f>
        <v>0</v>
      </c>
      <c r="V40" s="20">
        <f>'TE BE'!$V$40*'TE BF'!$V$48</f>
        <v>0</v>
      </c>
      <c r="W40" s="20">
        <f>SUM($T$40:$V$40)</f>
        <v>0</v>
      </c>
      <c r="X40" s="20">
        <f>'TE BE'!$AB$40*'TE BF'!$X$48</f>
        <v>0</v>
      </c>
      <c r="Y40" s="20">
        <f>SUM($X$40:$X$40)</f>
        <v>0</v>
      </c>
      <c r="Z40" s="20">
        <f>'TE BE'!$Z$40*'TE BF'!$Z$48</f>
        <v>0</v>
      </c>
      <c r="AA40" s="20">
        <f>SUM($Z$40:$Z$40)</f>
        <v>0</v>
      </c>
      <c r="AB40" s="20">
        <f>SUMIF($L$4:$AA$4,"SUBTOTAL",$L$40:$AA$40)</f>
        <v>0</v>
      </c>
    </row>
    <row r="41" spans="1:28" ht="11.25" customHeight="1" x14ac:dyDescent="0.25">
      <c r="A41" s="112"/>
      <c r="B41" s="112"/>
      <c r="C41" s="112"/>
      <c r="D41" s="22" t="s">
        <v>44</v>
      </c>
      <c r="E41" s="22" t="s">
        <v>25</v>
      </c>
      <c r="F41" s="22" t="s">
        <v>25</v>
      </c>
      <c r="G41" s="22" t="s">
        <v>69</v>
      </c>
      <c r="H41" s="22" t="s">
        <v>63</v>
      </c>
      <c r="I41" s="22">
        <f>'MERCADO TE'!$U$38</f>
        <v>547.28399999999988</v>
      </c>
      <c r="J41" s="15"/>
      <c r="L41" s="20">
        <f>'TE BE'!$L$41*'TE BF'!$L$48</f>
        <v>0</v>
      </c>
      <c r="M41" s="20">
        <f>'TE BE'!$M$41*'TE BF'!$M$48</f>
        <v>0</v>
      </c>
      <c r="N41" s="20">
        <f>'TE BE'!$N$41*'TE BF'!$N$48</f>
        <v>0</v>
      </c>
      <c r="O41" s="20">
        <f>'TE BE'!$O$41*'TE BF'!$O$48</f>
        <v>0</v>
      </c>
      <c r="P41" s="20">
        <f>'TE BE'!$P$41*'TE BF'!$P$48</f>
        <v>0</v>
      </c>
      <c r="Q41" s="20">
        <f>SUM($L$41:$P$41)</f>
        <v>0</v>
      </c>
      <c r="R41" s="20">
        <f>'TE BE'!$R$41*'TE BF'!$R$48</f>
        <v>0</v>
      </c>
      <c r="S41" s="20">
        <f>SUM($R$41:$R$41)</f>
        <v>0</v>
      </c>
      <c r="T41" s="20">
        <f>'TE BE'!$T$41*'TE BF'!$T$48</f>
        <v>0</v>
      </c>
      <c r="U41" s="20">
        <f>'TE BE'!$U$41*'TE BF'!$U$48</f>
        <v>0</v>
      </c>
      <c r="V41" s="20">
        <f>'TE BE'!$V$41*'TE BF'!$V$48</f>
        <v>0</v>
      </c>
      <c r="W41" s="20">
        <f>SUM($T$41:$V$41)</f>
        <v>0</v>
      </c>
      <c r="X41" s="20">
        <f>'TE BE'!$AB$41*'TE BF'!$X$48</f>
        <v>0</v>
      </c>
      <c r="Y41" s="20">
        <f>SUM($X$41:$X$41)</f>
        <v>0</v>
      </c>
      <c r="Z41" s="20">
        <f>'TE BE'!$Z$41*'TE BF'!$Z$48</f>
        <v>0</v>
      </c>
      <c r="AA41" s="20">
        <f>SUM($Z$41:$Z$41)</f>
        <v>0</v>
      </c>
      <c r="AB41" s="20">
        <f>SUMIF($L$4:$AA$4,"SUBTOTAL",$L$41:$AA$41)</f>
        <v>0</v>
      </c>
    </row>
    <row r="43" spans="1:28" ht="11.25" customHeight="1" x14ac:dyDescent="0.25">
      <c r="K43" s="25" t="s">
        <v>445</v>
      </c>
      <c r="L43" s="20">
        <f t="shared" ref="L43:AB43" si="0">SUMPRODUCT($I$5:$I$41,L$5:L$41)</f>
        <v>0</v>
      </c>
      <c r="M43" s="20">
        <f t="shared" si="0"/>
        <v>0</v>
      </c>
      <c r="N43" s="20">
        <f t="shared" si="0"/>
        <v>0</v>
      </c>
      <c r="O43" s="20">
        <f t="shared" si="0"/>
        <v>0</v>
      </c>
      <c r="P43" s="20">
        <f t="shared" si="0"/>
        <v>0</v>
      </c>
      <c r="Q43" s="20">
        <f t="shared" si="0"/>
        <v>0</v>
      </c>
      <c r="R43" s="20">
        <f t="shared" si="0"/>
        <v>0</v>
      </c>
      <c r="S43" s="20">
        <f t="shared" si="0"/>
        <v>0</v>
      </c>
      <c r="T43" s="20">
        <f t="shared" si="0"/>
        <v>0</v>
      </c>
      <c r="U43" s="20">
        <f t="shared" si="0"/>
        <v>0</v>
      </c>
      <c r="V43" s="20">
        <f t="shared" si="0"/>
        <v>0</v>
      </c>
      <c r="W43" s="20">
        <f t="shared" si="0"/>
        <v>0</v>
      </c>
      <c r="X43" s="20">
        <f t="shared" si="0"/>
        <v>0</v>
      </c>
      <c r="Y43" s="20">
        <f t="shared" si="0"/>
        <v>0</v>
      </c>
      <c r="Z43" s="20">
        <f t="shared" si="0"/>
        <v>0</v>
      </c>
      <c r="AA43" s="20">
        <f t="shared" si="0"/>
        <v>0</v>
      </c>
      <c r="AB43" s="20">
        <f t="shared" si="0"/>
        <v>0</v>
      </c>
    </row>
    <row r="44" spans="1:28" ht="11.25" customHeight="1" x14ac:dyDescent="0.25">
      <c r="K44" s="25" t="s">
        <v>364</v>
      </c>
      <c r="L44" s="20">
        <f>CUSTOS!$D$30</f>
        <v>0</v>
      </c>
      <c r="M44" s="20">
        <f>CUSTOS!$D$31</f>
        <v>0</v>
      </c>
      <c r="N44" s="20">
        <f>CUSTOS!$D$32</f>
        <v>0</v>
      </c>
      <c r="O44" s="20">
        <f>CUSTOS!$D$33</f>
        <v>0</v>
      </c>
      <c r="P44" s="20">
        <f>CUSTOS!$D$34</f>
        <v>0</v>
      </c>
      <c r="Q44" s="20">
        <f>CUSTOS!$D$35</f>
        <v>0</v>
      </c>
      <c r="R44" s="20">
        <f>CUSTOS!$D$36</f>
        <v>13779995.040996935</v>
      </c>
      <c r="S44" s="20">
        <f>CUSTOS!$D$37</f>
        <v>13779995.040996935</v>
      </c>
      <c r="T44" s="20">
        <f>CUSTOS!$D$38</f>
        <v>0</v>
      </c>
      <c r="U44" s="20">
        <f>CUSTOS!$D$39</f>
        <v>0</v>
      </c>
      <c r="V44" s="20">
        <f>CUSTOS!$D$40</f>
        <v>0</v>
      </c>
      <c r="W44" s="20">
        <f>CUSTOS!$D$41</f>
        <v>0</v>
      </c>
      <c r="X44" s="20">
        <f>CUSTOS!$D$42</f>
        <v>0</v>
      </c>
      <c r="Y44" s="20">
        <f>CUSTOS!$D$43</f>
        <v>0</v>
      </c>
      <c r="Z44" s="20">
        <f>CUSTOS!$D$44</f>
        <v>0</v>
      </c>
      <c r="AA44" s="20">
        <f>CUSTOS!$D$45</f>
        <v>0</v>
      </c>
      <c r="AB44" s="20">
        <f>CUSTOS!$D$46</f>
        <v>13779995.040996935</v>
      </c>
    </row>
    <row r="45" spans="1:28" ht="11.25" customHeight="1" x14ac:dyDescent="0.25">
      <c r="K45" s="25" t="s">
        <v>365</v>
      </c>
      <c r="L45" s="20">
        <f>CUSTOS!$E$30</f>
        <v>0</v>
      </c>
      <c r="M45" s="20">
        <f>CUSTOS!$E$31</f>
        <v>0</v>
      </c>
      <c r="N45" s="20">
        <f>CUSTOS!$E$32</f>
        <v>0</v>
      </c>
      <c r="O45" s="20">
        <f>CUSTOS!$E$33</f>
        <v>0</v>
      </c>
      <c r="P45" s="20">
        <f>CUSTOS!$E$34</f>
        <v>0</v>
      </c>
      <c r="Q45" s="20">
        <f>CUSTOS!$E$35</f>
        <v>0</v>
      </c>
      <c r="R45" s="20">
        <f>CUSTOS!$E$36</f>
        <v>112997.05225141399</v>
      </c>
      <c r="S45" s="20">
        <f>CUSTOS!$E$37</f>
        <v>112997.05225141399</v>
      </c>
      <c r="T45" s="20">
        <f>CUSTOS!$E$38</f>
        <v>0</v>
      </c>
      <c r="U45" s="20">
        <f>CUSTOS!$E$39</f>
        <v>0</v>
      </c>
      <c r="V45" s="20">
        <f>CUSTOS!$E$40</f>
        <v>0</v>
      </c>
      <c r="W45" s="20">
        <f>CUSTOS!$E$41</f>
        <v>0</v>
      </c>
      <c r="X45" s="20">
        <f>CUSTOS!$E$42</f>
        <v>-343578.09311346081</v>
      </c>
      <c r="Y45" s="20">
        <f>CUSTOS!$E$43</f>
        <v>-343578.09311346081</v>
      </c>
      <c r="Z45" s="20">
        <f>CUSTOS!$E$44</f>
        <v>0</v>
      </c>
      <c r="AA45" s="20">
        <f>CUSTOS!$E$45</f>
        <v>0</v>
      </c>
      <c r="AB45" s="20">
        <f>CUSTOS!$E$46</f>
        <v>-230581.04086204682</v>
      </c>
    </row>
    <row r="46" spans="1:28" ht="11.25" customHeight="1" x14ac:dyDescent="0.25">
      <c r="K46" s="25" t="s">
        <v>366</v>
      </c>
      <c r="L46" s="20">
        <f>CUSTOS!$F$30</f>
        <v>0</v>
      </c>
      <c r="M46" s="20">
        <f>CUSTOS!$F$31</f>
        <v>0</v>
      </c>
      <c r="N46" s="20">
        <f>CUSTOS!$F$32</f>
        <v>0</v>
      </c>
      <c r="O46" s="20">
        <f>CUSTOS!$F$33</f>
        <v>0</v>
      </c>
      <c r="P46" s="20">
        <f>CUSTOS!$F$34</f>
        <v>0</v>
      </c>
      <c r="Q46" s="20">
        <f>CUSTOS!$F$35</f>
        <v>0</v>
      </c>
      <c r="R46" s="20">
        <f>CUSTOS!$F$36</f>
        <v>0</v>
      </c>
      <c r="S46" s="20">
        <f>CUSTOS!$F$37</f>
        <v>0</v>
      </c>
      <c r="T46" s="20">
        <f>CUSTOS!$F$38</f>
        <v>0</v>
      </c>
      <c r="U46" s="20">
        <f>CUSTOS!$F$39</f>
        <v>0</v>
      </c>
      <c r="V46" s="20">
        <f>CUSTOS!$F$40</f>
        <v>0</v>
      </c>
      <c r="W46" s="20">
        <f>CUSTOS!$F$41</f>
        <v>0</v>
      </c>
      <c r="X46" s="20">
        <f>CUSTOS!$F$42</f>
        <v>0</v>
      </c>
      <c r="Y46" s="20">
        <f>CUSTOS!$F$43</f>
        <v>0</v>
      </c>
      <c r="Z46" s="20">
        <f>CUSTOS!$F$44</f>
        <v>0</v>
      </c>
      <c r="AA46" s="20">
        <f>CUSTOS!$F$45</f>
        <v>0</v>
      </c>
      <c r="AB46" s="20">
        <f>CUSTOS!$F$46</f>
        <v>0</v>
      </c>
    </row>
    <row r="47" spans="1:28" ht="11.25" customHeight="1" x14ac:dyDescent="0.25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1.25" customHeight="1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518" priority="33" operator="notEqual">
      <formula>$L$46</formula>
    </cfRule>
    <cfRule type="cellIs" dxfId="517" priority="34" operator="equal">
      <formula>$L$46</formula>
    </cfRule>
  </conditionalFormatting>
  <conditionalFormatting sqref="M43">
    <cfRule type="cellIs" dxfId="516" priority="31" operator="notEqual">
      <formula>$M$46</formula>
    </cfRule>
    <cfRule type="cellIs" dxfId="515" priority="32" operator="equal">
      <formula>$M$46</formula>
    </cfRule>
  </conditionalFormatting>
  <conditionalFormatting sqref="N43">
    <cfRule type="cellIs" dxfId="514" priority="29" operator="notEqual">
      <formula>$N$46</formula>
    </cfRule>
    <cfRule type="cellIs" dxfId="513" priority="30" operator="equal">
      <formula>$N$46</formula>
    </cfRule>
  </conditionalFormatting>
  <conditionalFormatting sqref="O43">
    <cfRule type="cellIs" dxfId="512" priority="27" operator="notEqual">
      <formula>$O$46</formula>
    </cfRule>
    <cfRule type="cellIs" dxfId="511" priority="28" operator="equal">
      <formula>$O$46</formula>
    </cfRule>
  </conditionalFormatting>
  <conditionalFormatting sqref="P43">
    <cfRule type="cellIs" dxfId="510" priority="25" operator="notEqual">
      <formula>$P$46</formula>
    </cfRule>
    <cfRule type="cellIs" dxfId="509" priority="26" operator="equal">
      <formula>$P$46</formula>
    </cfRule>
  </conditionalFormatting>
  <conditionalFormatting sqref="Q43">
    <cfRule type="cellIs" dxfId="508" priority="23" operator="notEqual">
      <formula>$Q$46</formula>
    </cfRule>
    <cfRule type="cellIs" dxfId="507" priority="24" operator="equal">
      <formula>$Q$46</formula>
    </cfRule>
  </conditionalFormatting>
  <conditionalFormatting sqref="R43">
    <cfRule type="cellIs" dxfId="506" priority="21" operator="notEqual">
      <formula>$R$46</formula>
    </cfRule>
    <cfRule type="cellIs" dxfId="505" priority="22" operator="equal">
      <formula>$R$46</formula>
    </cfRule>
  </conditionalFormatting>
  <conditionalFormatting sqref="S43">
    <cfRule type="cellIs" dxfId="504" priority="19" operator="notEqual">
      <formula>$S$46</formula>
    </cfRule>
    <cfRule type="cellIs" dxfId="503" priority="20" operator="equal">
      <formula>$S$46</formula>
    </cfRule>
  </conditionalFormatting>
  <conditionalFormatting sqref="T43">
    <cfRule type="cellIs" dxfId="502" priority="17" operator="notEqual">
      <formula>$T$46</formula>
    </cfRule>
    <cfRule type="cellIs" dxfId="501" priority="18" operator="equal">
      <formula>$T$46</formula>
    </cfRule>
  </conditionalFormatting>
  <conditionalFormatting sqref="U43">
    <cfRule type="cellIs" dxfId="500" priority="15" operator="notEqual">
      <formula>$U$46</formula>
    </cfRule>
    <cfRule type="cellIs" dxfId="499" priority="16" operator="equal">
      <formula>$U$46</formula>
    </cfRule>
  </conditionalFormatting>
  <conditionalFormatting sqref="V43">
    <cfRule type="cellIs" dxfId="498" priority="13" operator="notEqual">
      <formula>$V$46</formula>
    </cfRule>
    <cfRule type="cellIs" dxfId="497" priority="14" operator="equal">
      <formula>$V$46</formula>
    </cfRule>
  </conditionalFormatting>
  <conditionalFormatting sqref="W43">
    <cfRule type="cellIs" dxfId="496" priority="11" operator="notEqual">
      <formula>$W$46</formula>
    </cfRule>
    <cfRule type="cellIs" dxfId="495" priority="12" operator="equal">
      <formula>$W$46</formula>
    </cfRule>
  </conditionalFormatting>
  <conditionalFormatting sqref="X43">
    <cfRule type="cellIs" dxfId="494" priority="9" operator="notEqual">
      <formula>$X$46</formula>
    </cfRule>
    <cfRule type="cellIs" dxfId="493" priority="10" operator="equal">
      <formula>$X$46</formula>
    </cfRule>
  </conditionalFormatting>
  <conditionalFormatting sqref="Y43">
    <cfRule type="cellIs" dxfId="492" priority="7" operator="notEqual">
      <formula>$Y$46</formula>
    </cfRule>
    <cfRule type="cellIs" dxfId="491" priority="8" operator="equal">
      <formula>$Y$46</formula>
    </cfRule>
  </conditionalFormatting>
  <conditionalFormatting sqref="Z43">
    <cfRule type="cellIs" dxfId="490" priority="5" operator="notEqual">
      <formula>$Z$46</formula>
    </cfRule>
    <cfRule type="cellIs" dxfId="489" priority="6" operator="equal">
      <formula>$Z$46</formula>
    </cfRule>
  </conditionalFormatting>
  <conditionalFormatting sqref="AA43">
    <cfRule type="cellIs" dxfId="488" priority="3" operator="notEqual">
      <formula>$AA$46</formula>
    </cfRule>
    <cfRule type="cellIs" dxfId="487" priority="4" operator="equal">
      <formula>$AA$46</formula>
    </cfRule>
  </conditionalFormatting>
  <conditionalFormatting sqref="AB43">
    <cfRule type="cellIs" dxfId="486" priority="1" operator="notEqual">
      <formula>$AB$46</formula>
    </cfRule>
    <cfRule type="cellIs" dxfId="485" priority="2" operator="equal">
      <formula>$AB$46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799-5A63-43D1-BAC9-5880F1B8510B}">
  <dimension ref="A1:AV170"/>
  <sheetViews>
    <sheetView showGridLines="0" topLeftCell="A100" workbookViewId="0">
      <selection activeCell="C21" sqref="C21"/>
    </sheetView>
  </sheetViews>
  <sheetFormatPr defaultRowHeight="11.25" customHeight="1" x14ac:dyDescent="0.25"/>
  <cols>
    <col min="1" max="1" width="15.85546875" style="4" bestFit="1" customWidth="1"/>
    <col min="2" max="2" width="13.28515625" style="4" bestFit="1" customWidth="1"/>
    <col min="3" max="3" width="14.5703125" style="4" bestFit="1" customWidth="1"/>
    <col min="4" max="4" width="13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7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23.28515625" style="4" bestFit="1" customWidth="1"/>
    <col min="29" max="29" width="24.7109375" style="4" bestFit="1" customWidth="1"/>
    <col min="30" max="30" width="22.5703125" style="4" bestFit="1" customWidth="1"/>
    <col min="31" max="31" width="24.140625" style="4" bestFit="1" customWidth="1"/>
    <col min="32" max="32" width="25.5703125" style="4" bestFit="1" customWidth="1"/>
    <col min="33" max="33" width="23.42578125" style="4" bestFit="1" customWidth="1"/>
    <col min="34" max="34" width="9.140625" style="4"/>
    <col min="35" max="35" width="9.28515625" style="4" bestFit="1" customWidth="1"/>
    <col min="36" max="36" width="14.5703125" style="4" bestFit="1" customWidth="1"/>
    <col min="37" max="37" width="15.42578125" style="4" bestFit="1" customWidth="1"/>
    <col min="38" max="38" width="9.28515625" style="4" bestFit="1" customWidth="1"/>
    <col min="39" max="39" width="9.140625" style="4"/>
    <col min="40" max="40" width="9.28515625" style="4" bestFit="1" customWidth="1"/>
    <col min="41" max="41" width="12.28515625" style="4" bestFit="1" customWidth="1"/>
    <col min="42" max="42" width="13.28515625" style="4" bestFit="1" customWidth="1"/>
    <col min="43" max="43" width="9.28515625" style="4" bestFit="1" customWidth="1"/>
    <col min="44" max="44" width="9.140625" style="4"/>
    <col min="45" max="45" width="9.28515625" style="4" bestFit="1" customWidth="1"/>
    <col min="46" max="46" width="10.85546875" style="4" bestFit="1" customWidth="1"/>
    <col min="47" max="47" width="11.28515625" style="4" bestFit="1" customWidth="1"/>
    <col min="48" max="48" width="9.28515625" style="4" bestFit="1" customWidth="1"/>
    <col min="49" max="16384" width="9.140625" style="4"/>
  </cols>
  <sheetData>
    <row r="1" spans="1:48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472</v>
      </c>
      <c r="W1" s="1" t="s">
        <v>473</v>
      </c>
      <c r="X1" s="1" t="s">
        <v>474</v>
      </c>
      <c r="Y1" s="1" t="s">
        <v>475</v>
      </c>
      <c r="Z1" s="1" t="s">
        <v>476</v>
      </c>
      <c r="AA1" s="1" t="s">
        <v>477</v>
      </c>
      <c r="AB1" s="1" t="s">
        <v>494</v>
      </c>
      <c r="AC1" s="1" t="s">
        <v>495</v>
      </c>
      <c r="AD1" s="1" t="s">
        <v>496</v>
      </c>
      <c r="AE1" s="1" t="s">
        <v>497</v>
      </c>
      <c r="AF1" s="1" t="s">
        <v>498</v>
      </c>
      <c r="AG1" s="1" t="s">
        <v>499</v>
      </c>
      <c r="AI1" s="34" t="s">
        <v>53</v>
      </c>
      <c r="AJ1" s="34" t="s">
        <v>500</v>
      </c>
      <c r="AK1" s="34" t="s">
        <v>501</v>
      </c>
      <c r="AL1" s="34" t="s">
        <v>502</v>
      </c>
      <c r="AN1" s="34" t="s">
        <v>53</v>
      </c>
      <c r="AO1" s="34" t="s">
        <v>503</v>
      </c>
      <c r="AP1" s="34" t="s">
        <v>504</v>
      </c>
      <c r="AQ1" s="34" t="s">
        <v>502</v>
      </c>
      <c r="AS1" s="34" t="s">
        <v>53</v>
      </c>
      <c r="AT1" s="34" t="s">
        <v>505</v>
      </c>
      <c r="AU1" s="34" t="s">
        <v>506</v>
      </c>
      <c r="AV1" s="34" t="s">
        <v>502</v>
      </c>
    </row>
    <row r="2" spans="1:48" ht="11.25" customHeight="1" x14ac:dyDescent="0.25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6522</v>
      </c>
      <c r="K2" s="6">
        <v>6522</v>
      </c>
      <c r="L2" s="6">
        <v>3170.7</v>
      </c>
      <c r="M2" s="6">
        <v>3170.7</v>
      </c>
      <c r="N2" s="6">
        <v>3170.7</v>
      </c>
      <c r="O2" s="6">
        <v>3170.7</v>
      </c>
      <c r="P2" s="6">
        <v>0</v>
      </c>
      <c r="Q2" s="4" t="s">
        <v>26</v>
      </c>
      <c r="R2" s="4">
        <v>0</v>
      </c>
      <c r="S2" s="6">
        <v>27</v>
      </c>
      <c r="T2" s="6">
        <v>16</v>
      </c>
      <c r="U2" s="6">
        <v>30</v>
      </c>
      <c r="V2" s="6">
        <f>IF(ISERROR(VLOOKUP($S$2,'TAR FIN'!$A$1:$O$85,15,0)),0,VLOOKUP($S$2,'TAR FIN'!$A$1:$O$85,15,0))</f>
        <v>13.01</v>
      </c>
      <c r="W2" s="6">
        <f>IF(ISERROR(VLOOKUP($T$2,'TAR FIN'!$A$1:$O$85,15,0)),0,VLOOKUP($T$2,'TAR FIN'!$A$1:$O$85,15,0))</f>
        <v>58.05</v>
      </c>
      <c r="X2" s="6">
        <f>IF(ISERROR(VLOOKUP($U$2,'TAR FIN'!$A$1:$O$85,15,0)),0,VLOOKUP($U$2,'TAR FIN'!$A$1:$O$85,15,0))</f>
        <v>241.37</v>
      </c>
      <c r="Y2" s="6">
        <f ca="1">('TUSD BE'!$AM$6+'TUSD BF'!$AM$6+'TUSD CVA'!$AM$6)*1</f>
        <v>14.787548847709356</v>
      </c>
      <c r="Z2" s="6">
        <f ca="1">('TUSD BE'!$AM$7+'TUSD BF'!$AM$7+'TUSD CVA'!$AM$7)*1</f>
        <v>93.32617220991402</v>
      </c>
      <c r="AA2" s="6">
        <f>('TE BE'!$AB$6+'TE BF'!$AB$6+'TE CVA'!$AB$6)*1</f>
        <v>239.91115615602757</v>
      </c>
      <c r="AB2" s="6">
        <f>$K$2*$V$2</f>
        <v>84851.22</v>
      </c>
      <c r="AC2" s="6">
        <f>$M$2*$W$2</f>
        <v>184059.13499999998</v>
      </c>
      <c r="AD2" s="6">
        <f>$O$2*$X$2</f>
        <v>765311.85899999994</v>
      </c>
      <c r="AE2" s="6">
        <f ca="1">$K$2*$Y$2</f>
        <v>96444.393584760415</v>
      </c>
      <c r="AF2" s="6">
        <f ca="1">$M$2*$Z$2</f>
        <v>295909.29422597436</v>
      </c>
      <c r="AG2" s="6">
        <f>$O$2*$AA$2</f>
        <v>760686.30282391654</v>
      </c>
      <c r="AI2" s="35" t="s">
        <v>33</v>
      </c>
      <c r="AJ2" s="36">
        <f>SUMIF($B$2:$B$170,AI2,$AB$2:$AB$170)+SUMIF($B$2:$B$170,AI2,$AC$2:$AC$170)</f>
        <v>8372811.295570001</v>
      </c>
      <c r="AK2" s="36">
        <f ca="1">SUMIF($B$2:$B$170,AI2,$AE$2:$AE$170)+SUMIF($B$2:$B$170,AI2,$AF$2:$AF$170)</f>
        <v>10449860.194306424</v>
      </c>
      <c r="AL2" s="37">
        <f t="shared" ref="AL2:AL9" ca="1" si="0">IF(AJ2&lt;&gt;0,AK2/AJ2-1,0)</f>
        <v>0.24807066890846752</v>
      </c>
      <c r="AN2" s="35" t="s">
        <v>33</v>
      </c>
      <c r="AO2" s="36">
        <f>SUMIF($B$2:$B$170,AN2,$AD$2:$AD$170)</f>
        <v>12340271.516980002</v>
      </c>
      <c r="AP2" s="36">
        <f>SUMIF($B$2:$B$170,AN2,$AG$2:$AG$170)</f>
        <v>12265686.733719882</v>
      </c>
      <c r="AQ2" s="37">
        <f t="shared" ref="AQ2:AQ9" si="1">IF(AO2&lt;&gt;0,AP2/AO2-1,0)</f>
        <v>-6.0440147655983489E-3</v>
      </c>
      <c r="AS2" s="35" t="s">
        <v>33</v>
      </c>
      <c r="AT2" s="36">
        <f>SUMIF($B$2:$B$170,AS2,$AB$2:$AB$170)+SUMIF($B$2:$B$170,AS2,$AC$2:$AC$170)+SUMIF($B$2:$B$170,AS2,$AD$2:$AD$170)</f>
        <v>20713082.812550001</v>
      </c>
      <c r="AU2" s="36">
        <f ca="1">SUMIF($B$2:$B$170,AS2,$AE$2:$AE$170)+SUMIF($B$2:$B$170,AS2,$AF$2:$AF$170)+SUMIF($B$2:$B$170,AS2,$AG$2:$AG$170)</f>
        <v>22715546.928026304</v>
      </c>
      <c r="AV2" s="37">
        <f t="shared" ref="AV2:AV9" ca="1" si="2">IF(AT2&lt;&gt;0,AU2/AT2-1,0)</f>
        <v>9.6676295537379664E-2</v>
      </c>
    </row>
    <row r="3" spans="1:48" ht="11.25" customHeight="1" x14ac:dyDescent="0.25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6537</v>
      </c>
      <c r="K3" s="6">
        <v>6537</v>
      </c>
      <c r="L3" s="6">
        <v>3230.58</v>
      </c>
      <c r="M3" s="6">
        <v>3230.58</v>
      </c>
      <c r="N3" s="6">
        <v>3230.58</v>
      </c>
      <c r="O3" s="6">
        <v>3230.58</v>
      </c>
      <c r="P3" s="6">
        <v>0</v>
      </c>
      <c r="Q3" s="4" t="s">
        <v>26</v>
      </c>
      <c r="R3" s="4">
        <v>0</v>
      </c>
      <c r="S3" s="6">
        <v>27</v>
      </c>
      <c r="T3" s="6">
        <v>16</v>
      </c>
      <c r="U3" s="6">
        <v>30</v>
      </c>
      <c r="V3" s="6">
        <f>IF(ISERROR(VLOOKUP($S$3,'TAR FIN'!$A$1:$O$85,15,0)),0,VLOOKUP($S$3,'TAR FIN'!$A$1:$O$85,15,0))</f>
        <v>13.01</v>
      </c>
      <c r="W3" s="6">
        <f>IF(ISERROR(VLOOKUP($T$3,'TAR FIN'!$A$1:$O$85,15,0)),0,VLOOKUP($T$3,'TAR FIN'!$A$1:$O$85,15,0))</f>
        <v>58.05</v>
      </c>
      <c r="X3" s="6">
        <f>IF(ISERROR(VLOOKUP($U$3,'TAR FIN'!$A$1:$O$85,15,0)),0,VLOOKUP($U$3,'TAR FIN'!$A$1:$O$85,15,0))</f>
        <v>241.37</v>
      </c>
      <c r="Y3" s="6">
        <f ca="1">('TUSD BE'!$AM$6+'TUSD BF'!$AM$6+'TUSD CVA'!$AM$6)*1</f>
        <v>14.787548847709356</v>
      </c>
      <c r="Z3" s="6">
        <f ca="1">('TUSD BE'!$AM$7+'TUSD BF'!$AM$7+'TUSD CVA'!$AM$7)*1</f>
        <v>93.32617220991402</v>
      </c>
      <c r="AA3" s="6">
        <f>('TE BE'!$AB$6+'TE BF'!$AB$6+'TE CVA'!$AB$6)*1</f>
        <v>239.91115615602757</v>
      </c>
      <c r="AB3" s="6">
        <f>$K$3*$V$3</f>
        <v>85046.37</v>
      </c>
      <c r="AC3" s="6">
        <f>$M$3*$W$3</f>
        <v>187535.16899999999</v>
      </c>
      <c r="AD3" s="6">
        <f>$O$3*$X$3</f>
        <v>779765.09459999995</v>
      </c>
      <c r="AE3" s="6">
        <f ca="1">$K$3*$Y$3</f>
        <v>96666.206817476064</v>
      </c>
      <c r="AF3" s="6">
        <f ca="1">$M$3*$Z$3</f>
        <v>301497.66541790403</v>
      </c>
      <c r="AG3" s="6">
        <f>$O$3*$AA$3</f>
        <v>775052.18285453948</v>
      </c>
      <c r="AI3" s="35" t="s">
        <v>22</v>
      </c>
      <c r="AJ3" s="36">
        <f>SUMIF($B$2:$B$170,AI3,$AB$2:$AB$170)+SUMIF($B$2:$B$170,AI3,$AC$2:$AC$170)</f>
        <v>660872.38690999965</v>
      </c>
      <c r="AK3" s="36">
        <f ca="1">SUMIF($B$2:$B$170,AI3,$AE$2:$AE$170)+SUMIF($B$2:$B$170,AI3,$AF$2:$AF$170)</f>
        <v>830635.71300650691</v>
      </c>
      <c r="AL3" s="37">
        <f t="shared" ca="1" si="0"/>
        <v>0.25687762033795836</v>
      </c>
      <c r="AN3" s="35" t="s">
        <v>22</v>
      </c>
      <c r="AO3" s="36">
        <f>SUMIF($B$2:$B$170,AN3,$AD$2:$AD$170)</f>
        <v>717612.3002500002</v>
      </c>
      <c r="AP3" s="36">
        <f>SUMIF($B$2:$B$170,AN3,$AG$2:$AG$170)</f>
        <v>713275.04814880504</v>
      </c>
      <c r="AQ3" s="37">
        <f t="shared" si="1"/>
        <v>-6.0440046800817049E-3</v>
      </c>
      <c r="AS3" s="35" t="s">
        <v>22</v>
      </c>
      <c r="AT3" s="36">
        <f>SUMIF($B$2:$B$170,AS3,$AB$2:$AB$170)+SUMIF($B$2:$B$170,AS3,$AC$2:$AC$170)+SUMIF($B$2:$B$170,AS3,$AD$2:$AD$170)</f>
        <v>1378484.6871599997</v>
      </c>
      <c r="AU3" s="36">
        <f ca="1">SUMIF($B$2:$B$170,AS3,$AE$2:$AE$170)+SUMIF($B$2:$B$170,AS3,$AF$2:$AF$170)+SUMIF($B$2:$B$170,AS3,$AG$2:$AG$170)</f>
        <v>1543910.7611553119</v>
      </c>
      <c r="AV3" s="37">
        <f t="shared" ca="1" si="2"/>
        <v>0.12000573929923619</v>
      </c>
    </row>
    <row r="4" spans="1:48" ht="11.25" customHeight="1" x14ac:dyDescent="0.25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6638</v>
      </c>
      <c r="K4" s="6">
        <v>6638</v>
      </c>
      <c r="L4" s="6">
        <v>3509.4</v>
      </c>
      <c r="M4" s="6">
        <v>3509.4</v>
      </c>
      <c r="N4" s="6">
        <v>3509.4</v>
      </c>
      <c r="O4" s="6">
        <v>3509.4</v>
      </c>
      <c r="P4" s="6">
        <v>0</v>
      </c>
      <c r="Q4" s="4" t="s">
        <v>26</v>
      </c>
      <c r="R4" s="4">
        <v>0</v>
      </c>
      <c r="S4" s="6">
        <v>27</v>
      </c>
      <c r="T4" s="6">
        <v>16</v>
      </c>
      <c r="U4" s="6">
        <v>30</v>
      </c>
      <c r="V4" s="6">
        <f>IF(ISERROR(VLOOKUP($S$4,'TAR FIN'!$A$1:$O$85,15,0)),0,VLOOKUP($S$4,'TAR FIN'!$A$1:$O$85,15,0))</f>
        <v>13.01</v>
      </c>
      <c r="W4" s="6">
        <f>IF(ISERROR(VLOOKUP($T$4,'TAR FIN'!$A$1:$O$85,15,0)),0,VLOOKUP($T$4,'TAR FIN'!$A$1:$O$85,15,0))</f>
        <v>58.05</v>
      </c>
      <c r="X4" s="6">
        <f>IF(ISERROR(VLOOKUP($U$4,'TAR FIN'!$A$1:$O$85,15,0)),0,VLOOKUP($U$4,'TAR FIN'!$A$1:$O$85,15,0))</f>
        <v>241.37</v>
      </c>
      <c r="Y4" s="6">
        <f ca="1">('TUSD BE'!$AM$6+'TUSD BF'!$AM$6+'TUSD CVA'!$AM$6)*1</f>
        <v>14.787548847709356</v>
      </c>
      <c r="Z4" s="6">
        <f ca="1">('TUSD BE'!$AM$7+'TUSD BF'!$AM$7+'TUSD CVA'!$AM$7)*1</f>
        <v>93.32617220991402</v>
      </c>
      <c r="AA4" s="6">
        <f>('TE BE'!$AB$6+'TE BF'!$AB$6+'TE CVA'!$AB$6)*1</f>
        <v>239.91115615602757</v>
      </c>
      <c r="AB4" s="6">
        <f>$K$4*$V$4</f>
        <v>86360.38</v>
      </c>
      <c r="AC4" s="6">
        <f>$M$4*$W$4</f>
        <v>203720.66999999998</v>
      </c>
      <c r="AD4" s="6">
        <f>$O$4*$X$4</f>
        <v>847063.87800000003</v>
      </c>
      <c r="AE4" s="6">
        <f ca="1">$K$4*$Y$4</f>
        <v>98159.749251094705</v>
      </c>
      <c r="AF4" s="6">
        <f ca="1">$M$4*$Z$4</f>
        <v>327518.86875347228</v>
      </c>
      <c r="AG4" s="6">
        <f>$O$4*$AA$4</f>
        <v>841944.21141396323</v>
      </c>
      <c r="AI4" s="35" t="s">
        <v>39</v>
      </c>
      <c r="AJ4" s="36">
        <f>SUMIF($B$2:$B$170,AI4,$AB$2:$AB$170)+SUMIF($B$2:$B$170,AI4,$AC$2:$AC$170)</f>
        <v>130834.42020000001</v>
      </c>
      <c r="AK4" s="36">
        <f ca="1">SUMIF($B$2:$B$170,AI4,$AE$2:$AE$170)+SUMIF($B$2:$B$170,AI4,$AF$2:$AF$170)</f>
        <v>175676.58984742884</v>
      </c>
      <c r="AL4" s="37">
        <f t="shared" ca="1" si="0"/>
        <v>0.34273985071268598</v>
      </c>
      <c r="AN4" s="35" t="s">
        <v>39</v>
      </c>
      <c r="AO4" s="36">
        <f>SUMIF($B$2:$B$170,AN4,$AD$2:$AD$170)</f>
        <v>142013.0778</v>
      </c>
      <c r="AP4" s="36">
        <f>SUMIF($B$2:$B$170,AN4,$AG$2:$AG$170)</f>
        <v>150775.81273582909</v>
      </c>
      <c r="AQ4" s="37">
        <f t="shared" si="1"/>
        <v>6.1703718217908321E-2</v>
      </c>
      <c r="AS4" s="35" t="s">
        <v>39</v>
      </c>
      <c r="AT4" s="36">
        <f>SUMIF($B$2:$B$170,AS4,$AB$2:$AB$170)+SUMIF($B$2:$B$170,AS4,$AC$2:$AC$170)+SUMIF($B$2:$B$170,AS4,$AD$2:$AD$170)</f>
        <v>272847.49800000002</v>
      </c>
      <c r="AU4" s="36">
        <f ca="1">SUMIF($B$2:$B$170,AS4,$AE$2:$AE$170)+SUMIF($B$2:$B$170,AS4,$AF$2:$AF$170)+SUMIF($B$2:$B$170,AS4,$AG$2:$AG$170)</f>
        <v>326452.40258325794</v>
      </c>
      <c r="AV4" s="37">
        <f t="shared" ca="1" si="2"/>
        <v>0.19646471005300525</v>
      </c>
    </row>
    <row r="5" spans="1:48" ht="11.25" customHeight="1" x14ac:dyDescent="0.25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6702</v>
      </c>
      <c r="K5" s="6">
        <v>6702</v>
      </c>
      <c r="L5" s="6">
        <v>3278.04</v>
      </c>
      <c r="M5" s="6">
        <v>3278.04</v>
      </c>
      <c r="N5" s="6">
        <v>3278.04</v>
      </c>
      <c r="O5" s="6">
        <v>3278.04</v>
      </c>
      <c r="P5" s="6">
        <v>0</v>
      </c>
      <c r="Q5" s="4" t="s">
        <v>26</v>
      </c>
      <c r="R5" s="4">
        <v>0</v>
      </c>
      <c r="S5" s="6">
        <v>27</v>
      </c>
      <c r="T5" s="6">
        <v>16</v>
      </c>
      <c r="U5" s="6">
        <v>30</v>
      </c>
      <c r="V5" s="6">
        <f>IF(ISERROR(VLOOKUP($S$5,'TAR FIN'!$A$1:$O$85,15,0)),0,VLOOKUP($S$5,'TAR FIN'!$A$1:$O$85,15,0))</f>
        <v>13.01</v>
      </c>
      <c r="W5" s="6">
        <f>IF(ISERROR(VLOOKUP($T$5,'TAR FIN'!$A$1:$O$85,15,0)),0,VLOOKUP($T$5,'TAR FIN'!$A$1:$O$85,15,0))</f>
        <v>58.05</v>
      </c>
      <c r="X5" s="6">
        <f>IF(ISERROR(VLOOKUP($U$5,'TAR FIN'!$A$1:$O$85,15,0)),0,VLOOKUP($U$5,'TAR FIN'!$A$1:$O$85,15,0))</f>
        <v>241.37</v>
      </c>
      <c r="Y5" s="6">
        <f ca="1">('TUSD BE'!$AM$6+'TUSD BF'!$AM$6+'TUSD CVA'!$AM$6)*1</f>
        <v>14.787548847709356</v>
      </c>
      <c r="Z5" s="6">
        <f ca="1">('TUSD BE'!$AM$7+'TUSD BF'!$AM$7+'TUSD CVA'!$AM$7)*1</f>
        <v>93.32617220991402</v>
      </c>
      <c r="AA5" s="6">
        <f>('TE BE'!$AB$6+'TE BF'!$AB$6+'TE CVA'!$AB$6)*1</f>
        <v>239.91115615602757</v>
      </c>
      <c r="AB5" s="6">
        <f>$K$5*$V$5</f>
        <v>87193.02</v>
      </c>
      <c r="AC5" s="6">
        <f>$M$5*$W$5</f>
        <v>190290.22199999998</v>
      </c>
      <c r="AD5" s="6">
        <f>$O$5*$X$5</f>
        <v>791220.5148</v>
      </c>
      <c r="AE5" s="6">
        <f ca="1">$K$5*$Y$5</f>
        <v>99106.152377348102</v>
      </c>
      <c r="AF5" s="6">
        <f ca="1">$M$5*$Z$5</f>
        <v>305926.92555098655</v>
      </c>
      <c r="AG5" s="6">
        <f>$O$5*$AA$5</f>
        <v>786438.36632570461</v>
      </c>
      <c r="AI5" s="35" t="s">
        <v>31</v>
      </c>
      <c r="AJ5" s="36">
        <f>SUMIF($B$2:$B$170,AI5,$AB$2:$AB$170)+SUMIF($B$2:$B$170,AI5,$AC$2:$AC$170)</f>
        <v>306029.53125160013</v>
      </c>
      <c r="AK5" s="36">
        <f ca="1">SUMIF($B$2:$B$170,AI5,$AE$2:$AE$170)+SUMIF($B$2:$B$170,AI5,$AF$2:$AF$170)</f>
        <v>384787.95194656216</v>
      </c>
      <c r="AL5" s="37">
        <f t="shared" ca="1" si="0"/>
        <v>0.25735562307616422</v>
      </c>
      <c r="AN5" s="35" t="s">
        <v>31</v>
      </c>
      <c r="AO5" s="36">
        <f>SUMIF($B$2:$B$170,AN5,$AD$2:$AD$170)</f>
        <v>332162.73027340003</v>
      </c>
      <c r="AP5" s="36">
        <f>SUMIF($B$2:$B$170,AN5,$AG$2:$AG$170)</f>
        <v>330247.2813030142</v>
      </c>
      <c r="AQ5" s="37">
        <f t="shared" si="1"/>
        <v>-5.7665981033129254E-3</v>
      </c>
      <c r="AS5" s="35" t="s">
        <v>31</v>
      </c>
      <c r="AT5" s="36">
        <f>SUMIF($B$2:$B$170,AS5,$AB$2:$AB$170)+SUMIF($B$2:$B$170,AS5,$AC$2:$AC$170)+SUMIF($B$2:$B$170,AS5,$AD$2:$AD$170)</f>
        <v>638192.26152500021</v>
      </c>
      <c r="AU5" s="36">
        <f ca="1">SUMIF($B$2:$B$170,AS5,$AE$2:$AE$170)+SUMIF($B$2:$B$170,AS5,$AF$2:$AF$170)+SUMIF($B$2:$B$170,AS5,$AG$2:$AG$170)</f>
        <v>715035.2332495763</v>
      </c>
      <c r="AV5" s="37">
        <f t="shared" ca="1" si="2"/>
        <v>0.1204072445832467</v>
      </c>
    </row>
    <row r="6" spans="1:48" ht="11.25" customHeight="1" x14ac:dyDescent="0.25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7052</v>
      </c>
      <c r="K6" s="6">
        <v>7052</v>
      </c>
      <c r="L6" s="6">
        <v>2229</v>
      </c>
      <c r="M6" s="6">
        <v>2229</v>
      </c>
      <c r="N6" s="6">
        <v>2229</v>
      </c>
      <c r="O6" s="6">
        <v>2229</v>
      </c>
      <c r="P6" s="6">
        <v>0</v>
      </c>
      <c r="Q6" s="4" t="s">
        <v>26</v>
      </c>
      <c r="R6" s="4">
        <v>0</v>
      </c>
      <c r="S6" s="6">
        <v>27</v>
      </c>
      <c r="T6" s="6">
        <v>16</v>
      </c>
      <c r="U6" s="6">
        <v>30</v>
      </c>
      <c r="V6" s="6">
        <f>IF(ISERROR(VLOOKUP($S$6,'TAR FIN'!$A$1:$O$85,15,0)),0,VLOOKUP($S$6,'TAR FIN'!$A$1:$O$85,15,0))</f>
        <v>13.01</v>
      </c>
      <c r="W6" s="6">
        <f>IF(ISERROR(VLOOKUP($T$6,'TAR FIN'!$A$1:$O$85,15,0)),0,VLOOKUP($T$6,'TAR FIN'!$A$1:$O$85,15,0))</f>
        <v>58.05</v>
      </c>
      <c r="X6" s="6">
        <f>IF(ISERROR(VLOOKUP($U$6,'TAR FIN'!$A$1:$O$85,15,0)),0,VLOOKUP($U$6,'TAR FIN'!$A$1:$O$85,15,0))</f>
        <v>241.37</v>
      </c>
      <c r="Y6" s="6">
        <f ca="1">('TUSD BE'!$AM$6+'TUSD BF'!$AM$6+'TUSD CVA'!$AM$6)*1</f>
        <v>14.787548847709356</v>
      </c>
      <c r="Z6" s="6">
        <f ca="1">('TUSD BE'!$AM$7+'TUSD BF'!$AM$7+'TUSD CVA'!$AM$7)*1</f>
        <v>93.32617220991402</v>
      </c>
      <c r="AA6" s="6">
        <f>('TE BE'!$AB$6+'TE BF'!$AB$6+'TE CVA'!$AB$6)*1</f>
        <v>239.91115615602757</v>
      </c>
      <c r="AB6" s="6">
        <f>$K$6*$V$6</f>
        <v>91746.52</v>
      </c>
      <c r="AC6" s="6">
        <f>$M$6*$W$6</f>
        <v>129393.45</v>
      </c>
      <c r="AD6" s="6">
        <f>$O$6*$X$6</f>
        <v>538013.73</v>
      </c>
      <c r="AE6" s="6">
        <f ca="1">$K$6*$Y$6</f>
        <v>104281.79447404639</v>
      </c>
      <c r="AF6" s="6">
        <f ca="1">$M$6*$Z$6</f>
        <v>208024.03785589835</v>
      </c>
      <c r="AG6" s="6">
        <f>$O$6*$AA$6</f>
        <v>534761.96707178548</v>
      </c>
      <c r="AI6" s="35" t="s">
        <v>42</v>
      </c>
      <c r="AJ6" s="36">
        <f>SUMIF($B$2:$B$170,AI6,$AB$2:$AB$170)+SUMIF($B$2:$B$170,AI6,$AC$2:$AC$170)</f>
        <v>73024.104120000004</v>
      </c>
      <c r="AK6" s="36">
        <f ca="1">SUMIF($B$2:$B$170,AI6,$AE$2:$AE$170)+SUMIF($B$2:$B$170,AI6,$AF$2:$AF$170)</f>
        <v>91790.272681504357</v>
      </c>
      <c r="AL6" s="37">
        <f t="shared" ca="1" si="0"/>
        <v>0.25698594714241252</v>
      </c>
      <c r="AN6" s="35" t="s">
        <v>42</v>
      </c>
      <c r="AO6" s="36">
        <f>SUMIF($B$2:$B$170,AN6,$AD$2:$AD$170)</f>
        <v>79257.668879999968</v>
      </c>
      <c r="AP6" s="36">
        <f>SUMIF($B$2:$B$170,AN6,$AG$2:$AG$170)</f>
        <v>78779.722311417238</v>
      </c>
      <c r="AQ6" s="37">
        <f t="shared" si="1"/>
        <v>-6.0302879877323079E-3</v>
      </c>
      <c r="AS6" s="35" t="s">
        <v>42</v>
      </c>
      <c r="AT6" s="36">
        <f>SUMIF($B$2:$B$170,AS6,$AB$2:$AB$170)+SUMIF($B$2:$B$170,AS6,$AC$2:$AC$170)+SUMIF($B$2:$B$170,AS6,$AD$2:$AD$170)</f>
        <v>152281.77299999999</v>
      </c>
      <c r="AU6" s="36">
        <f ca="1">SUMIF($B$2:$B$170,AS6,$AE$2:$AE$170)+SUMIF($B$2:$B$170,AS6,$AF$2:$AF$170)+SUMIF($B$2:$B$170,AS6,$AG$2:$AG$170)</f>
        <v>170569.99499292159</v>
      </c>
      <c r="AV6" s="37">
        <f t="shared" ca="1" si="2"/>
        <v>0.12009462217728184</v>
      </c>
    </row>
    <row r="7" spans="1:48" ht="11.25" customHeight="1" x14ac:dyDescent="0.25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6867</v>
      </c>
      <c r="K7" s="6">
        <v>6867</v>
      </c>
      <c r="L7" s="6">
        <v>2981.7</v>
      </c>
      <c r="M7" s="6">
        <v>2981.7</v>
      </c>
      <c r="N7" s="6">
        <v>2981.7</v>
      </c>
      <c r="O7" s="6">
        <v>2981.7</v>
      </c>
      <c r="P7" s="6">
        <v>0</v>
      </c>
      <c r="Q7" s="4" t="s">
        <v>26</v>
      </c>
      <c r="R7" s="4">
        <v>0</v>
      </c>
      <c r="S7" s="6">
        <v>27</v>
      </c>
      <c r="T7" s="6">
        <v>16</v>
      </c>
      <c r="U7" s="6">
        <v>30</v>
      </c>
      <c r="V7" s="6">
        <f>IF(ISERROR(VLOOKUP($S$7,'TAR FIN'!$A$1:$O$85,15,0)),0,VLOOKUP($S$7,'TAR FIN'!$A$1:$O$85,15,0))</f>
        <v>13.01</v>
      </c>
      <c r="W7" s="6">
        <f>IF(ISERROR(VLOOKUP($T$7,'TAR FIN'!$A$1:$O$85,15,0)),0,VLOOKUP($T$7,'TAR FIN'!$A$1:$O$85,15,0))</f>
        <v>58.05</v>
      </c>
      <c r="X7" s="6">
        <f>IF(ISERROR(VLOOKUP($U$7,'TAR FIN'!$A$1:$O$85,15,0)),0,VLOOKUP($U$7,'TAR FIN'!$A$1:$O$85,15,0))</f>
        <v>241.37</v>
      </c>
      <c r="Y7" s="6">
        <f ca="1">('TUSD BE'!$AM$6+'TUSD BF'!$AM$6+'TUSD CVA'!$AM$6)*1</f>
        <v>14.787548847709356</v>
      </c>
      <c r="Z7" s="6">
        <f ca="1">('TUSD BE'!$AM$7+'TUSD BF'!$AM$7+'TUSD CVA'!$AM$7)*1</f>
        <v>93.32617220991402</v>
      </c>
      <c r="AA7" s="6">
        <f>('TE BE'!$AB$6+'TE BF'!$AB$6+'TE CVA'!$AB$6)*1</f>
        <v>239.91115615602757</v>
      </c>
      <c r="AB7" s="6">
        <f>$K$7*$V$7</f>
        <v>89339.67</v>
      </c>
      <c r="AC7" s="6">
        <f>$M$7*$W$7</f>
        <v>173087.68499999997</v>
      </c>
      <c r="AD7" s="6">
        <f>$O$7*$X$7</f>
        <v>719692.929</v>
      </c>
      <c r="AE7" s="6">
        <f ca="1">$K$7*$Y$7</f>
        <v>101546.09793722015</v>
      </c>
      <c r="AF7" s="6">
        <f ca="1">$M$7*$Z$7</f>
        <v>278270.64767830062</v>
      </c>
      <c r="AG7" s="6">
        <f>$O$7*$AA$7</f>
        <v>715343.09431042732</v>
      </c>
      <c r="AI7" s="35" t="s">
        <v>507</v>
      </c>
      <c r="AJ7" s="36">
        <f>+$AJ$2</f>
        <v>8372811.295570001</v>
      </c>
      <c r="AK7" s="36">
        <f ca="1">+$AK$2</f>
        <v>10449860.194306424</v>
      </c>
      <c r="AL7" s="37">
        <f t="shared" ca="1" si="0"/>
        <v>0.24807066890846752</v>
      </c>
      <c r="AN7" s="35" t="s">
        <v>507</v>
      </c>
      <c r="AO7" s="36">
        <f>+$AO$2</f>
        <v>12340271.516980002</v>
      </c>
      <c r="AP7" s="36">
        <f>+$AP$2</f>
        <v>12265686.733719882</v>
      </c>
      <c r="AQ7" s="37">
        <f t="shared" si="1"/>
        <v>-6.0440147655983489E-3</v>
      </c>
      <c r="AS7" s="35" t="s">
        <v>507</v>
      </c>
      <c r="AT7" s="36">
        <f>+$AT$2</f>
        <v>20713082.812550001</v>
      </c>
      <c r="AU7" s="36">
        <f ca="1">+$AU$2</f>
        <v>22715546.928026304</v>
      </c>
      <c r="AV7" s="37">
        <f t="shared" ca="1" si="2"/>
        <v>9.6676295537379664E-2</v>
      </c>
    </row>
    <row r="8" spans="1:48" ht="11.25" customHeight="1" x14ac:dyDescent="0.25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6755</v>
      </c>
      <c r="K8" s="6">
        <v>6755</v>
      </c>
      <c r="L8" s="6">
        <v>3222.9</v>
      </c>
      <c r="M8" s="6">
        <v>3222.9</v>
      </c>
      <c r="N8" s="6">
        <v>3222.9</v>
      </c>
      <c r="O8" s="6">
        <v>3222.9</v>
      </c>
      <c r="P8" s="6">
        <v>0</v>
      </c>
      <c r="Q8" s="4" t="s">
        <v>26</v>
      </c>
      <c r="R8" s="4">
        <v>0</v>
      </c>
      <c r="S8" s="6">
        <v>27</v>
      </c>
      <c r="T8" s="6">
        <v>16</v>
      </c>
      <c r="U8" s="6">
        <v>30</v>
      </c>
      <c r="V8" s="6">
        <f>IF(ISERROR(VLOOKUP($S$8,'TAR FIN'!$A$1:$O$85,15,0)),0,VLOOKUP($S$8,'TAR FIN'!$A$1:$O$85,15,0))</f>
        <v>13.01</v>
      </c>
      <c r="W8" s="6">
        <f>IF(ISERROR(VLOOKUP($T$8,'TAR FIN'!$A$1:$O$85,15,0)),0,VLOOKUP($T$8,'TAR FIN'!$A$1:$O$85,15,0))</f>
        <v>58.05</v>
      </c>
      <c r="X8" s="6">
        <f>IF(ISERROR(VLOOKUP($U$8,'TAR FIN'!$A$1:$O$85,15,0)),0,VLOOKUP($U$8,'TAR FIN'!$A$1:$O$85,15,0))</f>
        <v>241.37</v>
      </c>
      <c r="Y8" s="6">
        <f ca="1">('TUSD BE'!$AM$6+'TUSD BF'!$AM$6+'TUSD CVA'!$AM$6)*1</f>
        <v>14.787548847709356</v>
      </c>
      <c r="Z8" s="6">
        <f ca="1">('TUSD BE'!$AM$7+'TUSD BF'!$AM$7+'TUSD CVA'!$AM$7)*1</f>
        <v>93.32617220991402</v>
      </c>
      <c r="AA8" s="6">
        <f>('TE BE'!$AB$6+'TE BF'!$AB$6+'TE CVA'!$AB$6)*1</f>
        <v>239.91115615602757</v>
      </c>
      <c r="AB8" s="6">
        <f>$K$8*$V$8</f>
        <v>87882.55</v>
      </c>
      <c r="AC8" s="6">
        <f>$M$8*$W$8</f>
        <v>187089.345</v>
      </c>
      <c r="AD8" s="6">
        <f>$O$8*$X$8</f>
        <v>777911.37300000002</v>
      </c>
      <c r="AE8" s="6">
        <f ca="1">$K$8*$Y$8</f>
        <v>99889.892466276695</v>
      </c>
      <c r="AF8" s="6">
        <f ca="1">$M$8*$Z$8</f>
        <v>300780.9204153319</v>
      </c>
      <c r="AG8" s="6">
        <f>$O$8*$AA$8</f>
        <v>773209.66517526133</v>
      </c>
      <c r="AI8" s="35" t="s">
        <v>72</v>
      </c>
      <c r="AJ8" s="36">
        <f>+$AJ$3+$AJ$4+$AJ$5+$AJ$6</f>
        <v>1170760.4424816</v>
      </c>
      <c r="AK8" s="36">
        <f ca="1">+$AK$3+$AK$4+$AK$5+$AK$6</f>
        <v>1482890.5274820023</v>
      </c>
      <c r="AL8" s="37">
        <f t="shared" ca="1" si="0"/>
        <v>0.26660457056338216</v>
      </c>
      <c r="AN8" s="35" t="s">
        <v>72</v>
      </c>
      <c r="AO8" s="36">
        <f>+$AO$3+$AO$4+$AO$5+$AO$6</f>
        <v>1271045.7772034002</v>
      </c>
      <c r="AP8" s="36">
        <f>+$AP$3+$AP$4+$AP$5+$AP$6</f>
        <v>1273077.8644990656</v>
      </c>
      <c r="AQ8" s="37">
        <f t="shared" si="1"/>
        <v>1.5987522496132556E-3</v>
      </c>
      <c r="AS8" s="35" t="s">
        <v>72</v>
      </c>
      <c r="AT8" s="36">
        <f>+$AT$3+$AT$4+$AT$5+$AT$6</f>
        <v>2441806.2196850004</v>
      </c>
      <c r="AU8" s="36">
        <f ca="1">+$AU$3+$AU$4+$AU$5+$AU$6</f>
        <v>2755968.3919810676</v>
      </c>
      <c r="AV8" s="37">
        <f t="shared" ca="1" si="2"/>
        <v>0.12865974775696776</v>
      </c>
    </row>
    <row r="9" spans="1:48" ht="11.25" customHeight="1" x14ac:dyDescent="0.25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6776</v>
      </c>
      <c r="K9" s="6">
        <v>6776</v>
      </c>
      <c r="L9" s="6">
        <v>3073.98</v>
      </c>
      <c r="M9" s="6">
        <v>3073.98</v>
      </c>
      <c r="N9" s="6">
        <v>3073.98</v>
      </c>
      <c r="O9" s="6">
        <v>3073.98</v>
      </c>
      <c r="P9" s="6">
        <v>0</v>
      </c>
      <c r="Q9" s="4" t="s">
        <v>26</v>
      </c>
      <c r="R9" s="4">
        <v>0</v>
      </c>
      <c r="S9" s="6">
        <v>27</v>
      </c>
      <c r="T9" s="6">
        <v>16</v>
      </c>
      <c r="U9" s="6">
        <v>30</v>
      </c>
      <c r="V9" s="6">
        <f>IF(ISERROR(VLOOKUP($S$9,'TAR FIN'!$A$1:$O$85,15,0)),0,VLOOKUP($S$9,'TAR FIN'!$A$1:$O$85,15,0))</f>
        <v>13.01</v>
      </c>
      <c r="W9" s="6">
        <f>IF(ISERROR(VLOOKUP($T$9,'TAR FIN'!$A$1:$O$85,15,0)),0,VLOOKUP($T$9,'TAR FIN'!$A$1:$O$85,15,0))</f>
        <v>58.05</v>
      </c>
      <c r="X9" s="6">
        <f>IF(ISERROR(VLOOKUP($U$9,'TAR FIN'!$A$1:$O$85,15,0)),0,VLOOKUP($U$9,'TAR FIN'!$A$1:$O$85,15,0))</f>
        <v>241.37</v>
      </c>
      <c r="Y9" s="6">
        <f ca="1">('TUSD BE'!$AM$6+'TUSD BF'!$AM$6+'TUSD CVA'!$AM$6)*1</f>
        <v>14.787548847709356</v>
      </c>
      <c r="Z9" s="6">
        <f ca="1">('TUSD BE'!$AM$7+'TUSD BF'!$AM$7+'TUSD CVA'!$AM$7)*1</f>
        <v>93.32617220991402</v>
      </c>
      <c r="AA9" s="6">
        <f>('TE BE'!$AB$6+'TE BF'!$AB$6+'TE CVA'!$AB$6)*1</f>
        <v>239.91115615602757</v>
      </c>
      <c r="AB9" s="6">
        <f>$K$9*$V$9</f>
        <v>88155.76</v>
      </c>
      <c r="AC9" s="6">
        <f>$M$9*$W$9</f>
        <v>178444.53899999999</v>
      </c>
      <c r="AD9" s="6">
        <f>$O$9*$X$9</f>
        <v>741966.55260000005</v>
      </c>
      <c r="AE9" s="6">
        <f ca="1">$K$9*$Y$9</f>
        <v>100200.4309920786</v>
      </c>
      <c r="AF9" s="6">
        <f ca="1">$M$9*$Z$9</f>
        <v>286882.78684983152</v>
      </c>
      <c r="AG9" s="6">
        <f>$O$9*$AA$9</f>
        <v>737482.0958005056</v>
      </c>
      <c r="AI9" s="35" t="s">
        <v>508</v>
      </c>
      <c r="AJ9" s="36">
        <f>AJ8+AJ7</f>
        <v>9543571.7380516008</v>
      </c>
      <c r="AK9" s="36">
        <f ca="1">AK8+AK7</f>
        <v>11932750.721788427</v>
      </c>
      <c r="AL9" s="37">
        <f t="shared" ca="1" si="0"/>
        <v>0.25034432069188761</v>
      </c>
      <c r="AN9" s="35" t="s">
        <v>508</v>
      </c>
      <c r="AO9" s="36">
        <f>AO8+AO7</f>
        <v>13611317.294183401</v>
      </c>
      <c r="AP9" s="36">
        <f>AP8+AP7</f>
        <v>13538764.598218948</v>
      </c>
      <c r="AQ9" s="37">
        <f t="shared" si="1"/>
        <v>-5.3303214080138162E-3</v>
      </c>
      <c r="AS9" s="35" t="s">
        <v>508</v>
      </c>
      <c r="AT9" s="36">
        <f>AT8+AT7</f>
        <v>23154889.032235</v>
      </c>
      <c r="AU9" s="36">
        <f ca="1">AU8+AU7</f>
        <v>25471515.320007373</v>
      </c>
      <c r="AV9" s="37">
        <f t="shared" ca="1" si="2"/>
        <v>0.10004912070825678</v>
      </c>
    </row>
    <row r="10" spans="1:48" ht="11.25" customHeight="1" x14ac:dyDescent="0.25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6813</v>
      </c>
      <c r="K10" s="6">
        <v>6813</v>
      </c>
      <c r="L10" s="6">
        <v>3038.16</v>
      </c>
      <c r="M10" s="6">
        <v>3038.16</v>
      </c>
      <c r="N10" s="6">
        <v>3038.16</v>
      </c>
      <c r="O10" s="6">
        <v>3038.16</v>
      </c>
      <c r="P10" s="6">
        <v>0</v>
      </c>
      <c r="Q10" s="4" t="s">
        <v>26</v>
      </c>
      <c r="R10" s="4">
        <v>0</v>
      </c>
      <c r="S10" s="6">
        <v>27</v>
      </c>
      <c r="T10" s="6">
        <v>16</v>
      </c>
      <c r="U10" s="6">
        <v>30</v>
      </c>
      <c r="V10" s="6">
        <f>IF(ISERROR(VLOOKUP($S$10,'TAR FIN'!$A$1:$O$85,15,0)),0,VLOOKUP($S$10,'TAR FIN'!$A$1:$O$85,15,0))</f>
        <v>13.01</v>
      </c>
      <c r="W10" s="6">
        <f>IF(ISERROR(VLOOKUP($T$10,'TAR FIN'!$A$1:$O$85,15,0)),0,VLOOKUP($T$10,'TAR FIN'!$A$1:$O$85,15,0))</f>
        <v>58.05</v>
      </c>
      <c r="X10" s="6">
        <f>IF(ISERROR(VLOOKUP($U$10,'TAR FIN'!$A$1:$O$85,15,0)),0,VLOOKUP($U$10,'TAR FIN'!$A$1:$O$85,15,0))</f>
        <v>241.37</v>
      </c>
      <c r="Y10" s="6">
        <f ca="1">('TUSD BE'!$AM$6+'TUSD BF'!$AM$6+'TUSD CVA'!$AM$6)*1</f>
        <v>14.787548847709356</v>
      </c>
      <c r="Z10" s="6">
        <f ca="1">('TUSD BE'!$AM$7+'TUSD BF'!$AM$7+'TUSD CVA'!$AM$7)*1</f>
        <v>93.32617220991402</v>
      </c>
      <c r="AA10" s="6">
        <f>('TE BE'!$AB$6+'TE BF'!$AB$6+'TE CVA'!$AB$6)*1</f>
        <v>239.91115615602757</v>
      </c>
      <c r="AB10" s="6">
        <f>$K$10*$V$10</f>
        <v>88637.13</v>
      </c>
      <c r="AC10" s="6">
        <f>$M$10*$W$10</f>
        <v>176365.18799999999</v>
      </c>
      <c r="AD10" s="6">
        <f>$O$10*$X$10</f>
        <v>733320.67920000001</v>
      </c>
      <c r="AE10" s="6">
        <f ca="1">$K$10*$Y$10</f>
        <v>100747.57029944385</v>
      </c>
      <c r="AF10" s="6">
        <f ca="1">$M$10*$Z$10</f>
        <v>283539.84336127236</v>
      </c>
      <c r="AG10" s="6">
        <f>$O$10*$AA$10</f>
        <v>728888.47818699665</v>
      </c>
    </row>
    <row r="11" spans="1:48" ht="11.25" customHeight="1" x14ac:dyDescent="0.25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6851</v>
      </c>
      <c r="K11" s="6">
        <v>6851</v>
      </c>
      <c r="L11" s="6">
        <v>3159.18</v>
      </c>
      <c r="M11" s="6">
        <v>3159.18</v>
      </c>
      <c r="N11" s="6">
        <v>3159.18</v>
      </c>
      <c r="O11" s="6">
        <v>3159.18</v>
      </c>
      <c r="P11" s="6">
        <v>0</v>
      </c>
      <c r="Q11" s="4" t="s">
        <v>26</v>
      </c>
      <c r="R11" s="4">
        <v>0</v>
      </c>
      <c r="S11" s="6">
        <v>27</v>
      </c>
      <c r="T11" s="6">
        <v>16</v>
      </c>
      <c r="U11" s="6">
        <v>30</v>
      </c>
      <c r="V11" s="6">
        <f>IF(ISERROR(VLOOKUP($S$11,'TAR FIN'!$A$1:$O$85,15,0)),0,VLOOKUP($S$11,'TAR FIN'!$A$1:$O$85,15,0))</f>
        <v>13.01</v>
      </c>
      <c r="W11" s="6">
        <f>IF(ISERROR(VLOOKUP($T$11,'TAR FIN'!$A$1:$O$85,15,0)),0,VLOOKUP($T$11,'TAR FIN'!$A$1:$O$85,15,0))</f>
        <v>58.05</v>
      </c>
      <c r="X11" s="6">
        <f>IF(ISERROR(VLOOKUP($U$11,'TAR FIN'!$A$1:$O$85,15,0)),0,VLOOKUP($U$11,'TAR FIN'!$A$1:$O$85,15,0))</f>
        <v>241.37</v>
      </c>
      <c r="Y11" s="6">
        <f ca="1">('TUSD BE'!$AM$6+'TUSD BF'!$AM$6+'TUSD CVA'!$AM$6)*1</f>
        <v>14.787548847709356</v>
      </c>
      <c r="Z11" s="6">
        <f ca="1">('TUSD BE'!$AM$7+'TUSD BF'!$AM$7+'TUSD CVA'!$AM$7)*1</f>
        <v>93.32617220991402</v>
      </c>
      <c r="AA11" s="6">
        <f>('TE BE'!$AB$6+'TE BF'!$AB$6+'TE CVA'!$AB$6)*1</f>
        <v>239.91115615602757</v>
      </c>
      <c r="AB11" s="6">
        <f>$K$11*$V$11</f>
        <v>89131.51</v>
      </c>
      <c r="AC11" s="6">
        <f>$M$11*$W$11</f>
        <v>183390.39899999998</v>
      </c>
      <c r="AD11" s="6">
        <f>$O$11*$X$11</f>
        <v>762531.27659999998</v>
      </c>
      <c r="AE11" s="6">
        <f ca="1">$K$11*$Y$11</f>
        <v>101309.49715565681</v>
      </c>
      <c r="AF11" s="6">
        <f ca="1">$M$11*$Z$11</f>
        <v>294834.17672211619</v>
      </c>
      <c r="AG11" s="6">
        <f>$O$11*$AA$11</f>
        <v>757922.52630499913</v>
      </c>
    </row>
    <row r="12" spans="1:48" ht="11.25" customHeight="1" x14ac:dyDescent="0.25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6950</v>
      </c>
      <c r="K12" s="6">
        <v>6950</v>
      </c>
      <c r="L12" s="6">
        <v>3186.06</v>
      </c>
      <c r="M12" s="6">
        <v>3186.06</v>
      </c>
      <c r="N12" s="6">
        <v>3186.06</v>
      </c>
      <c r="O12" s="6">
        <v>3186.06</v>
      </c>
      <c r="P12" s="6">
        <v>0</v>
      </c>
      <c r="Q12" s="4" t="s">
        <v>26</v>
      </c>
      <c r="R12" s="4">
        <v>0</v>
      </c>
      <c r="S12" s="6">
        <v>27</v>
      </c>
      <c r="T12" s="6">
        <v>16</v>
      </c>
      <c r="U12" s="6">
        <v>30</v>
      </c>
      <c r="V12" s="6">
        <f>IF(ISERROR(VLOOKUP($S$12,'TAR FIN'!$A$1:$O$85,15,0)),0,VLOOKUP($S$12,'TAR FIN'!$A$1:$O$85,15,0))</f>
        <v>13.01</v>
      </c>
      <c r="W12" s="6">
        <f>IF(ISERROR(VLOOKUP($T$12,'TAR FIN'!$A$1:$O$85,15,0)),0,VLOOKUP($T$12,'TAR FIN'!$A$1:$O$85,15,0))</f>
        <v>58.05</v>
      </c>
      <c r="X12" s="6">
        <f>IF(ISERROR(VLOOKUP($U$12,'TAR FIN'!$A$1:$O$85,15,0)),0,VLOOKUP($U$12,'TAR FIN'!$A$1:$O$85,15,0))</f>
        <v>241.37</v>
      </c>
      <c r="Y12" s="6">
        <f ca="1">('TUSD BE'!$AM$6+'TUSD BF'!$AM$6+'TUSD CVA'!$AM$6)*1</f>
        <v>14.787548847709356</v>
      </c>
      <c r="Z12" s="6">
        <f ca="1">('TUSD BE'!$AM$7+'TUSD BF'!$AM$7+'TUSD CVA'!$AM$7)*1</f>
        <v>93.32617220991402</v>
      </c>
      <c r="AA12" s="6">
        <f>('TE BE'!$AB$6+'TE BF'!$AB$6+'TE CVA'!$AB$6)*1</f>
        <v>239.91115615602757</v>
      </c>
      <c r="AB12" s="6">
        <f>$K$12*$V$12</f>
        <v>90419.5</v>
      </c>
      <c r="AC12" s="6">
        <f>$M$12*$W$12</f>
        <v>184950.783</v>
      </c>
      <c r="AD12" s="6">
        <f>$O$12*$X$12</f>
        <v>769019.30220000003</v>
      </c>
      <c r="AE12" s="6">
        <f ca="1">$K$12*$Y$12</f>
        <v>102773.46449158003</v>
      </c>
      <c r="AF12" s="6">
        <f ca="1">$M$12*$Z$12</f>
        <v>297342.78423111868</v>
      </c>
      <c r="AG12" s="6">
        <f>$O$12*$AA$12</f>
        <v>764371.33818247321</v>
      </c>
      <c r="AU12" s="58">
        <f ca="1">AU9+SUBSIDIO!AJ12</f>
        <v>25494183.1372342</v>
      </c>
    </row>
    <row r="13" spans="1:48" ht="11.25" customHeight="1" x14ac:dyDescent="0.25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6883</v>
      </c>
      <c r="K13" s="6">
        <v>6883</v>
      </c>
      <c r="L13" s="6">
        <v>3597.78</v>
      </c>
      <c r="M13" s="6">
        <v>3597.78</v>
      </c>
      <c r="N13" s="6">
        <v>3597.78</v>
      </c>
      <c r="O13" s="6">
        <v>3597.78</v>
      </c>
      <c r="P13" s="6">
        <v>0</v>
      </c>
      <c r="Q13" s="4" t="s">
        <v>26</v>
      </c>
      <c r="R13" s="4">
        <v>0</v>
      </c>
      <c r="S13" s="6">
        <v>27</v>
      </c>
      <c r="T13" s="6">
        <v>16</v>
      </c>
      <c r="U13" s="6">
        <v>30</v>
      </c>
      <c r="V13" s="6">
        <f>IF(ISERROR(VLOOKUP($S$13,'TAR FIN'!$A$1:$O$85,15,0)),0,VLOOKUP($S$13,'TAR FIN'!$A$1:$O$85,15,0))</f>
        <v>13.01</v>
      </c>
      <c r="W13" s="6">
        <f>IF(ISERROR(VLOOKUP($T$13,'TAR FIN'!$A$1:$O$85,15,0)),0,VLOOKUP($T$13,'TAR FIN'!$A$1:$O$85,15,0))</f>
        <v>58.05</v>
      </c>
      <c r="X13" s="6">
        <f>IF(ISERROR(VLOOKUP($U$13,'TAR FIN'!$A$1:$O$85,15,0)),0,VLOOKUP($U$13,'TAR FIN'!$A$1:$O$85,15,0))</f>
        <v>241.37</v>
      </c>
      <c r="Y13" s="6">
        <f ca="1">('TUSD BE'!$AM$6+'TUSD BF'!$AM$6+'TUSD CVA'!$AM$6)*1</f>
        <v>14.787548847709356</v>
      </c>
      <c r="Z13" s="6">
        <f ca="1">('TUSD BE'!$AM$7+'TUSD BF'!$AM$7+'TUSD CVA'!$AM$7)*1</f>
        <v>93.32617220991402</v>
      </c>
      <c r="AA13" s="6">
        <f>('TE BE'!$AB$6+'TE BF'!$AB$6+'TE CVA'!$AB$6)*1</f>
        <v>239.91115615602757</v>
      </c>
      <c r="AB13" s="6">
        <f>$K$13*$V$13</f>
        <v>89547.83</v>
      </c>
      <c r="AC13" s="6">
        <f>$M$13*$W$13</f>
        <v>208851.12900000002</v>
      </c>
      <c r="AD13" s="6">
        <f>$O$13*$X$13</f>
        <v>868396.15860000008</v>
      </c>
      <c r="AE13" s="6">
        <f ca="1">$K$13*$Y$13</f>
        <v>101782.6987187835</v>
      </c>
      <c r="AF13" s="6">
        <f ca="1">$M$13*$Z$13</f>
        <v>335767.03585338447</v>
      </c>
      <c r="AG13" s="6">
        <f>$O$13*$AA$13</f>
        <v>863147.55939503293</v>
      </c>
    </row>
    <row r="14" spans="1:48" ht="11.25" customHeight="1" x14ac:dyDescent="0.25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35</v>
      </c>
      <c r="I14" s="5">
        <v>44440</v>
      </c>
      <c r="J14" s="6">
        <v>6066</v>
      </c>
      <c r="K14" s="6">
        <v>6066</v>
      </c>
      <c r="L14" s="6">
        <v>294.54000000000002</v>
      </c>
      <c r="M14" s="6">
        <v>294.54000000000002</v>
      </c>
      <c r="N14" s="6">
        <v>294.54000000000002</v>
      </c>
      <c r="O14" s="6">
        <v>294.54000000000002</v>
      </c>
      <c r="P14" s="6">
        <v>0</v>
      </c>
      <c r="Q14" s="4" t="s">
        <v>26</v>
      </c>
      <c r="R14" s="4">
        <v>0</v>
      </c>
      <c r="S14" s="6">
        <v>7</v>
      </c>
      <c r="T14" s="6">
        <v>16</v>
      </c>
      <c r="U14" s="6">
        <v>45</v>
      </c>
      <c r="V14" s="6">
        <f>IF(ISERROR(VLOOKUP($S$14,'TAR FIN'!$A$1:$O$85,15,0)),0,VLOOKUP($S$14,'TAR FIN'!$A$1:$O$85,15,0))</f>
        <v>40.4</v>
      </c>
      <c r="W14" s="6">
        <f>IF(ISERROR(VLOOKUP($T$14,'TAR FIN'!$A$1:$O$85,15,0)),0,VLOOKUP($T$14,'TAR FIN'!$A$1:$O$85,15,0))</f>
        <v>58.05</v>
      </c>
      <c r="X14" s="6">
        <f>IF(ISERROR(VLOOKUP($U$14,'TAR FIN'!$A$1:$O$85,15,0)),0,VLOOKUP($U$14,'TAR FIN'!$A$1:$O$85,15,0))</f>
        <v>241.37</v>
      </c>
      <c r="Y14" s="6">
        <f ca="1">('TUSD BE'!$AM$5+'TUSD BF'!$AM$5+'TUSD CVA'!$AM$5)*1</f>
        <v>40.932120366733692</v>
      </c>
      <c r="Z14" s="6">
        <f ca="1">('TUSD BE'!$AM$7+'TUSD BF'!$AM$7+'TUSD CVA'!$AM$7)*1</f>
        <v>93.32617220991402</v>
      </c>
      <c r="AA14" s="6">
        <f>('TE BE'!$AB$5+'TE BF'!$AB$5+'TE CVA'!$AB$5)*1</f>
        <v>239.91115615602757</v>
      </c>
      <c r="AB14" s="6">
        <f>$K$14*$V$14</f>
        <v>245066.4</v>
      </c>
      <c r="AC14" s="6">
        <f>$M$14*$W$14</f>
        <v>17098.046999999999</v>
      </c>
      <c r="AD14" s="6">
        <f>$O$14*$X$14</f>
        <v>71093.1198</v>
      </c>
      <c r="AE14" s="6">
        <f ca="1">$K$14*$Y$14</f>
        <v>248294.24214460657</v>
      </c>
      <c r="AF14" s="6">
        <f ca="1">$M$14*$Z$14</f>
        <v>27488.290762708079</v>
      </c>
      <c r="AG14" s="6">
        <f>$O$14*$AA$14</f>
        <v>70663.431934196371</v>
      </c>
    </row>
    <row r="15" spans="1:48" ht="11.25" customHeight="1" x14ac:dyDescent="0.25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35</v>
      </c>
      <c r="I15" s="5">
        <v>44470</v>
      </c>
      <c r="J15" s="6">
        <v>5996</v>
      </c>
      <c r="K15" s="6">
        <v>5996</v>
      </c>
      <c r="L15" s="6">
        <v>310.86</v>
      </c>
      <c r="M15" s="6">
        <v>310.86</v>
      </c>
      <c r="N15" s="6">
        <v>310.86</v>
      </c>
      <c r="O15" s="6">
        <v>310.86</v>
      </c>
      <c r="P15" s="6">
        <v>0</v>
      </c>
      <c r="Q15" s="4" t="s">
        <v>26</v>
      </c>
      <c r="R15" s="4">
        <v>0</v>
      </c>
      <c r="S15" s="6">
        <v>7</v>
      </c>
      <c r="T15" s="6">
        <v>16</v>
      </c>
      <c r="U15" s="6">
        <v>45</v>
      </c>
      <c r="V15" s="6">
        <f>IF(ISERROR(VLOOKUP($S$15,'TAR FIN'!$A$1:$O$85,15,0)),0,VLOOKUP($S$15,'TAR FIN'!$A$1:$O$85,15,0))</f>
        <v>40.4</v>
      </c>
      <c r="W15" s="6">
        <f>IF(ISERROR(VLOOKUP($T$15,'TAR FIN'!$A$1:$O$85,15,0)),0,VLOOKUP($T$15,'TAR FIN'!$A$1:$O$85,15,0))</f>
        <v>58.05</v>
      </c>
      <c r="X15" s="6">
        <f>IF(ISERROR(VLOOKUP($U$15,'TAR FIN'!$A$1:$O$85,15,0)),0,VLOOKUP($U$15,'TAR FIN'!$A$1:$O$85,15,0))</f>
        <v>241.37</v>
      </c>
      <c r="Y15" s="6">
        <f ca="1">('TUSD BE'!$AM$5+'TUSD BF'!$AM$5+'TUSD CVA'!$AM$5)*1</f>
        <v>40.932120366733692</v>
      </c>
      <c r="Z15" s="6">
        <f ca="1">('TUSD BE'!$AM$7+'TUSD BF'!$AM$7+'TUSD CVA'!$AM$7)*1</f>
        <v>93.32617220991402</v>
      </c>
      <c r="AA15" s="6">
        <f>('TE BE'!$AB$5+'TE BF'!$AB$5+'TE CVA'!$AB$5)*1</f>
        <v>239.91115615602757</v>
      </c>
      <c r="AB15" s="6">
        <f>$K$15*$V$15</f>
        <v>242238.4</v>
      </c>
      <c r="AC15" s="6">
        <f>$M$15*$W$15</f>
        <v>18045.422999999999</v>
      </c>
      <c r="AD15" s="6">
        <f>$O$15*$X$15</f>
        <v>75032.278200000001</v>
      </c>
      <c r="AE15" s="6">
        <f ca="1">$K$15*$Y$15</f>
        <v>245428.99371893521</v>
      </c>
      <c r="AF15" s="6">
        <f ca="1">$M$15*$Z$15</f>
        <v>29011.373893173874</v>
      </c>
      <c r="AG15" s="6">
        <f>$O$15*$AA$15</f>
        <v>74578.782002662731</v>
      </c>
    </row>
    <row r="16" spans="1:48" ht="11.25" customHeight="1" x14ac:dyDescent="0.25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35</v>
      </c>
      <c r="I16" s="5">
        <v>44501</v>
      </c>
      <c r="J16" s="6">
        <v>6103</v>
      </c>
      <c r="K16" s="6">
        <v>6103</v>
      </c>
      <c r="L16" s="6">
        <v>307.8</v>
      </c>
      <c r="M16" s="6">
        <v>307.8</v>
      </c>
      <c r="N16" s="6">
        <v>307.8</v>
      </c>
      <c r="O16" s="6">
        <v>307.8</v>
      </c>
      <c r="P16" s="6">
        <v>0</v>
      </c>
      <c r="Q16" s="4" t="s">
        <v>26</v>
      </c>
      <c r="R16" s="4">
        <v>0</v>
      </c>
      <c r="S16" s="6">
        <v>7</v>
      </c>
      <c r="T16" s="6">
        <v>16</v>
      </c>
      <c r="U16" s="6">
        <v>45</v>
      </c>
      <c r="V16" s="6">
        <f>IF(ISERROR(VLOOKUP($S$16,'TAR FIN'!$A$1:$O$85,15,0)),0,VLOOKUP($S$16,'TAR FIN'!$A$1:$O$85,15,0))</f>
        <v>40.4</v>
      </c>
      <c r="W16" s="6">
        <f>IF(ISERROR(VLOOKUP($T$16,'TAR FIN'!$A$1:$O$85,15,0)),0,VLOOKUP($T$16,'TAR FIN'!$A$1:$O$85,15,0))</f>
        <v>58.05</v>
      </c>
      <c r="X16" s="6">
        <f>IF(ISERROR(VLOOKUP($U$16,'TAR FIN'!$A$1:$O$85,15,0)),0,VLOOKUP($U$16,'TAR FIN'!$A$1:$O$85,15,0))</f>
        <v>241.37</v>
      </c>
      <c r="Y16" s="6">
        <f ca="1">('TUSD BE'!$AM$5+'TUSD BF'!$AM$5+'TUSD CVA'!$AM$5)*1</f>
        <v>40.932120366733692</v>
      </c>
      <c r="Z16" s="6">
        <f ca="1">('TUSD BE'!$AM$7+'TUSD BF'!$AM$7+'TUSD CVA'!$AM$7)*1</f>
        <v>93.32617220991402</v>
      </c>
      <c r="AA16" s="6">
        <f>('TE BE'!$AB$5+'TE BF'!$AB$5+'TE CVA'!$AB$5)*1</f>
        <v>239.91115615602757</v>
      </c>
      <c r="AB16" s="6">
        <f>$K$16*$V$16</f>
        <v>246561.19999999998</v>
      </c>
      <c r="AC16" s="6">
        <f>$M$16*$W$16</f>
        <v>17867.79</v>
      </c>
      <c r="AD16" s="6">
        <f>$O$16*$X$16</f>
        <v>74293.686000000002</v>
      </c>
      <c r="AE16" s="6">
        <f ca="1">$K$16*$Y$16</f>
        <v>249808.73059817572</v>
      </c>
      <c r="AF16" s="6">
        <f ca="1">$M$16*$Z$16</f>
        <v>28725.795806211536</v>
      </c>
      <c r="AG16" s="6">
        <f>$O$16*$AA$16</f>
        <v>73844.65386482529</v>
      </c>
    </row>
    <row r="17" spans="1:33" ht="11.25" customHeight="1" x14ac:dyDescent="0.25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35</v>
      </c>
      <c r="I17" s="5">
        <v>44531</v>
      </c>
      <c r="J17" s="6">
        <v>6058</v>
      </c>
      <c r="K17" s="6">
        <v>6058</v>
      </c>
      <c r="L17" s="6">
        <v>314.27999999999997</v>
      </c>
      <c r="M17" s="6">
        <v>314.27999999999997</v>
      </c>
      <c r="N17" s="6">
        <v>314.27999999999997</v>
      </c>
      <c r="O17" s="6">
        <v>314.27999999999997</v>
      </c>
      <c r="P17" s="6">
        <v>0</v>
      </c>
      <c r="Q17" s="4" t="s">
        <v>26</v>
      </c>
      <c r="R17" s="4">
        <v>0</v>
      </c>
      <c r="S17" s="6">
        <v>7</v>
      </c>
      <c r="T17" s="6">
        <v>16</v>
      </c>
      <c r="U17" s="6">
        <v>45</v>
      </c>
      <c r="V17" s="6">
        <f>IF(ISERROR(VLOOKUP($S$17,'TAR FIN'!$A$1:$O$85,15,0)),0,VLOOKUP($S$17,'TAR FIN'!$A$1:$O$85,15,0))</f>
        <v>40.4</v>
      </c>
      <c r="W17" s="6">
        <f>IF(ISERROR(VLOOKUP($T$17,'TAR FIN'!$A$1:$O$85,15,0)),0,VLOOKUP($T$17,'TAR FIN'!$A$1:$O$85,15,0))</f>
        <v>58.05</v>
      </c>
      <c r="X17" s="6">
        <f>IF(ISERROR(VLOOKUP($U$17,'TAR FIN'!$A$1:$O$85,15,0)),0,VLOOKUP($U$17,'TAR FIN'!$A$1:$O$85,15,0))</f>
        <v>241.37</v>
      </c>
      <c r="Y17" s="6">
        <f ca="1">('TUSD BE'!$AM$5+'TUSD BF'!$AM$5+'TUSD CVA'!$AM$5)*1</f>
        <v>40.932120366733692</v>
      </c>
      <c r="Z17" s="6">
        <f ca="1">('TUSD BE'!$AM$7+'TUSD BF'!$AM$7+'TUSD CVA'!$AM$7)*1</f>
        <v>93.32617220991402</v>
      </c>
      <c r="AA17" s="6">
        <f>('TE BE'!$AB$5+'TE BF'!$AB$5+'TE CVA'!$AB$5)*1</f>
        <v>239.91115615602757</v>
      </c>
      <c r="AB17" s="6">
        <f>$K$17*$V$17</f>
        <v>244743.19999999998</v>
      </c>
      <c r="AC17" s="6">
        <f>$M$17*$W$17</f>
        <v>18243.953999999998</v>
      </c>
      <c r="AD17" s="6">
        <f>$O$17*$X$17</f>
        <v>75857.763599999991</v>
      </c>
      <c r="AE17" s="6">
        <f ca="1">$K$17*$Y$17</f>
        <v>247966.78518167269</v>
      </c>
      <c r="AF17" s="6">
        <f ca="1">$M$17*$Z$17</f>
        <v>29330.549402131775</v>
      </c>
      <c r="AG17" s="6">
        <f>$O$17*$AA$17</f>
        <v>75399.278156716333</v>
      </c>
    </row>
    <row r="18" spans="1:33" ht="11.25" customHeight="1" x14ac:dyDescent="0.25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35</v>
      </c>
      <c r="I18" s="5">
        <v>44562</v>
      </c>
      <c r="J18" s="6">
        <v>6304</v>
      </c>
      <c r="K18" s="6">
        <v>6304</v>
      </c>
      <c r="L18" s="6">
        <v>207.36</v>
      </c>
      <c r="M18" s="6">
        <v>207.36</v>
      </c>
      <c r="N18" s="6">
        <v>207.36</v>
      </c>
      <c r="O18" s="6">
        <v>207.36</v>
      </c>
      <c r="P18" s="6">
        <v>0</v>
      </c>
      <c r="Q18" s="4" t="s">
        <v>26</v>
      </c>
      <c r="R18" s="4">
        <v>0</v>
      </c>
      <c r="S18" s="6">
        <v>7</v>
      </c>
      <c r="T18" s="6">
        <v>16</v>
      </c>
      <c r="U18" s="6">
        <v>45</v>
      </c>
      <c r="V18" s="6">
        <f>IF(ISERROR(VLOOKUP($S$18,'TAR FIN'!$A$1:$O$85,15,0)),0,VLOOKUP($S$18,'TAR FIN'!$A$1:$O$85,15,0))</f>
        <v>40.4</v>
      </c>
      <c r="W18" s="6">
        <f>IF(ISERROR(VLOOKUP($T$18,'TAR FIN'!$A$1:$O$85,15,0)),0,VLOOKUP($T$18,'TAR FIN'!$A$1:$O$85,15,0))</f>
        <v>58.05</v>
      </c>
      <c r="X18" s="6">
        <f>IF(ISERROR(VLOOKUP($U$18,'TAR FIN'!$A$1:$O$85,15,0)),0,VLOOKUP($U$18,'TAR FIN'!$A$1:$O$85,15,0))</f>
        <v>241.37</v>
      </c>
      <c r="Y18" s="6">
        <f ca="1">('TUSD BE'!$AM$5+'TUSD BF'!$AM$5+'TUSD CVA'!$AM$5)*1</f>
        <v>40.932120366733692</v>
      </c>
      <c r="Z18" s="6">
        <f ca="1">('TUSD BE'!$AM$7+'TUSD BF'!$AM$7+'TUSD CVA'!$AM$7)*1</f>
        <v>93.32617220991402</v>
      </c>
      <c r="AA18" s="6">
        <f>('TE BE'!$AB$5+'TE BF'!$AB$5+'TE CVA'!$AB$5)*1</f>
        <v>239.91115615602757</v>
      </c>
      <c r="AB18" s="6">
        <f>$K$18*$V$18</f>
        <v>254681.59999999998</v>
      </c>
      <c r="AC18" s="6">
        <f>$M$18*$W$18</f>
        <v>12037.248</v>
      </c>
      <c r="AD18" s="6">
        <f>$O$18*$X$18</f>
        <v>50050.483200000002</v>
      </c>
      <c r="AE18" s="6">
        <f ca="1">$K$18*$Y$18</f>
        <v>258036.08679188919</v>
      </c>
      <c r="AF18" s="6">
        <f ca="1">$M$18*$Z$18</f>
        <v>19352.115069447773</v>
      </c>
      <c r="AG18" s="6">
        <f>$O$18*$AA$18</f>
        <v>49747.977340513884</v>
      </c>
    </row>
    <row r="19" spans="1:33" ht="11.25" customHeight="1" x14ac:dyDescent="0.25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35</v>
      </c>
      <c r="I19" s="5">
        <v>44593</v>
      </c>
      <c r="J19" s="6">
        <v>6285</v>
      </c>
      <c r="K19" s="6">
        <v>6285</v>
      </c>
      <c r="L19" s="6">
        <v>293.22000000000003</v>
      </c>
      <c r="M19" s="6">
        <v>293.22000000000003</v>
      </c>
      <c r="N19" s="6">
        <v>293.22000000000003</v>
      </c>
      <c r="O19" s="6">
        <v>293.22000000000003</v>
      </c>
      <c r="P19" s="6">
        <v>0</v>
      </c>
      <c r="Q19" s="4" t="s">
        <v>26</v>
      </c>
      <c r="R19" s="4">
        <v>0</v>
      </c>
      <c r="S19" s="6">
        <v>7</v>
      </c>
      <c r="T19" s="6">
        <v>16</v>
      </c>
      <c r="U19" s="6">
        <v>45</v>
      </c>
      <c r="V19" s="6">
        <f>IF(ISERROR(VLOOKUP($S$19,'TAR FIN'!$A$1:$O$85,15,0)),0,VLOOKUP($S$19,'TAR FIN'!$A$1:$O$85,15,0))</f>
        <v>40.4</v>
      </c>
      <c r="W19" s="6">
        <f>IF(ISERROR(VLOOKUP($T$19,'TAR FIN'!$A$1:$O$85,15,0)),0,VLOOKUP($T$19,'TAR FIN'!$A$1:$O$85,15,0))</f>
        <v>58.05</v>
      </c>
      <c r="X19" s="6">
        <f>IF(ISERROR(VLOOKUP($U$19,'TAR FIN'!$A$1:$O$85,15,0)),0,VLOOKUP($U$19,'TAR FIN'!$A$1:$O$85,15,0))</f>
        <v>241.37</v>
      </c>
      <c r="Y19" s="6">
        <f ca="1">('TUSD BE'!$AM$5+'TUSD BF'!$AM$5+'TUSD CVA'!$AM$5)*1</f>
        <v>40.932120366733692</v>
      </c>
      <c r="Z19" s="6">
        <f ca="1">('TUSD BE'!$AM$7+'TUSD BF'!$AM$7+'TUSD CVA'!$AM$7)*1</f>
        <v>93.32617220991402</v>
      </c>
      <c r="AA19" s="6">
        <f>('TE BE'!$AB$5+'TE BF'!$AB$5+'TE CVA'!$AB$5)*1</f>
        <v>239.91115615602757</v>
      </c>
      <c r="AB19" s="6">
        <f>$K$19*$V$19</f>
        <v>253914</v>
      </c>
      <c r="AC19" s="6">
        <f>$M$19*$W$19</f>
        <v>17021.421000000002</v>
      </c>
      <c r="AD19" s="6">
        <f>$O$19*$X$19</f>
        <v>70774.511400000003</v>
      </c>
      <c r="AE19" s="6">
        <f ca="1">$K$19*$Y$19</f>
        <v>257258.37650492124</v>
      </c>
      <c r="AF19" s="6">
        <f ca="1">$M$19*$Z$19</f>
        <v>27365.10021539099</v>
      </c>
      <c r="AG19" s="6">
        <f>$O$19*$AA$19</f>
        <v>70346.749208070411</v>
      </c>
    </row>
    <row r="20" spans="1:33" ht="11.25" customHeight="1" x14ac:dyDescent="0.25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35</v>
      </c>
      <c r="I20" s="5">
        <v>44621</v>
      </c>
      <c r="J20" s="6">
        <v>6258</v>
      </c>
      <c r="K20" s="6">
        <v>6258</v>
      </c>
      <c r="L20" s="6">
        <v>329.34</v>
      </c>
      <c r="M20" s="6">
        <v>329.34</v>
      </c>
      <c r="N20" s="6">
        <v>329.34</v>
      </c>
      <c r="O20" s="6">
        <v>329.34</v>
      </c>
      <c r="P20" s="6">
        <v>0</v>
      </c>
      <c r="Q20" s="4" t="s">
        <v>26</v>
      </c>
      <c r="R20" s="4">
        <v>0</v>
      </c>
      <c r="S20" s="6">
        <v>7</v>
      </c>
      <c r="T20" s="6">
        <v>16</v>
      </c>
      <c r="U20" s="6">
        <v>45</v>
      </c>
      <c r="V20" s="6">
        <f>IF(ISERROR(VLOOKUP($S$20,'TAR FIN'!$A$1:$O$85,15,0)),0,VLOOKUP($S$20,'TAR FIN'!$A$1:$O$85,15,0))</f>
        <v>40.4</v>
      </c>
      <c r="W20" s="6">
        <f>IF(ISERROR(VLOOKUP($T$20,'TAR FIN'!$A$1:$O$85,15,0)),0,VLOOKUP($T$20,'TAR FIN'!$A$1:$O$85,15,0))</f>
        <v>58.05</v>
      </c>
      <c r="X20" s="6">
        <f>IF(ISERROR(VLOOKUP($U$20,'TAR FIN'!$A$1:$O$85,15,0)),0,VLOOKUP($U$20,'TAR FIN'!$A$1:$O$85,15,0))</f>
        <v>241.37</v>
      </c>
      <c r="Y20" s="6">
        <f ca="1">('TUSD BE'!$AM$5+'TUSD BF'!$AM$5+'TUSD CVA'!$AM$5)*1</f>
        <v>40.932120366733692</v>
      </c>
      <c r="Z20" s="6">
        <f ca="1">('TUSD BE'!$AM$7+'TUSD BF'!$AM$7+'TUSD CVA'!$AM$7)*1</f>
        <v>93.32617220991402</v>
      </c>
      <c r="AA20" s="6">
        <f>('TE BE'!$AB$5+'TE BF'!$AB$5+'TE CVA'!$AB$5)*1</f>
        <v>239.91115615602757</v>
      </c>
      <c r="AB20" s="6">
        <f>$K$20*$V$20</f>
        <v>252823.19999999998</v>
      </c>
      <c r="AC20" s="6">
        <f>$M$20*$W$20</f>
        <v>19118.186999999998</v>
      </c>
      <c r="AD20" s="6">
        <f>$O$20*$X$20</f>
        <v>79492.795799999993</v>
      </c>
      <c r="AE20" s="6">
        <f ca="1">$K$20*$Y$20</f>
        <v>256153.20925501944</v>
      </c>
      <c r="AF20" s="6">
        <f ca="1">$M$20*$Z$20</f>
        <v>30736.041555613079</v>
      </c>
      <c r="AG20" s="6">
        <f>$O$20*$AA$20</f>
        <v>79012.340168426119</v>
      </c>
    </row>
    <row r="21" spans="1:33" ht="11.25" customHeight="1" x14ac:dyDescent="0.25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35</v>
      </c>
      <c r="I21" s="5">
        <v>44652</v>
      </c>
      <c r="J21" s="6">
        <v>6215</v>
      </c>
      <c r="K21" s="6">
        <v>6215</v>
      </c>
      <c r="L21" s="6">
        <v>288.95999999999998</v>
      </c>
      <c r="M21" s="6">
        <v>288.95999999999998</v>
      </c>
      <c r="N21" s="6">
        <v>288.95999999999998</v>
      </c>
      <c r="O21" s="6">
        <v>288.95999999999998</v>
      </c>
      <c r="P21" s="6">
        <v>0</v>
      </c>
      <c r="Q21" s="4" t="s">
        <v>26</v>
      </c>
      <c r="R21" s="4">
        <v>0</v>
      </c>
      <c r="S21" s="6">
        <v>7</v>
      </c>
      <c r="T21" s="6">
        <v>16</v>
      </c>
      <c r="U21" s="6">
        <v>45</v>
      </c>
      <c r="V21" s="6">
        <f>IF(ISERROR(VLOOKUP($S$21,'TAR FIN'!$A$1:$O$85,15,0)),0,VLOOKUP($S$21,'TAR FIN'!$A$1:$O$85,15,0))</f>
        <v>40.4</v>
      </c>
      <c r="W21" s="6">
        <f>IF(ISERROR(VLOOKUP($T$21,'TAR FIN'!$A$1:$O$85,15,0)),0,VLOOKUP($T$21,'TAR FIN'!$A$1:$O$85,15,0))</f>
        <v>58.05</v>
      </c>
      <c r="X21" s="6">
        <f>IF(ISERROR(VLOOKUP($U$21,'TAR FIN'!$A$1:$O$85,15,0)),0,VLOOKUP($U$21,'TAR FIN'!$A$1:$O$85,15,0))</f>
        <v>241.37</v>
      </c>
      <c r="Y21" s="6">
        <f ca="1">('TUSD BE'!$AM$5+'TUSD BF'!$AM$5+'TUSD CVA'!$AM$5)*1</f>
        <v>40.932120366733692</v>
      </c>
      <c r="Z21" s="6">
        <f ca="1">('TUSD BE'!$AM$7+'TUSD BF'!$AM$7+'TUSD CVA'!$AM$7)*1</f>
        <v>93.32617220991402</v>
      </c>
      <c r="AA21" s="6">
        <f>('TE BE'!$AB$5+'TE BF'!$AB$5+'TE CVA'!$AB$5)*1</f>
        <v>239.91115615602757</v>
      </c>
      <c r="AB21" s="6">
        <f>$K$21*$V$21</f>
        <v>251086</v>
      </c>
      <c r="AC21" s="6">
        <f>$M$21*$W$21</f>
        <v>16774.127999999997</v>
      </c>
      <c r="AD21" s="6">
        <f>$O$21*$X$21</f>
        <v>69746.275199999989</v>
      </c>
      <c r="AE21" s="6">
        <f ca="1">$K$21*$Y$21</f>
        <v>254393.1280792499</v>
      </c>
      <c r="AF21" s="6">
        <f ca="1">$M$21*$Z$21</f>
        <v>26967.530721776755</v>
      </c>
      <c r="AG21" s="6">
        <f>$O$21*$AA$21</f>
        <v>69324.727682845725</v>
      </c>
    </row>
    <row r="22" spans="1:33" ht="11.25" customHeight="1" x14ac:dyDescent="0.25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35</v>
      </c>
      <c r="I22" s="5">
        <v>44682</v>
      </c>
      <c r="J22" s="6">
        <v>6270</v>
      </c>
      <c r="K22" s="6">
        <v>6270</v>
      </c>
      <c r="L22" s="6">
        <v>294.83999999999997</v>
      </c>
      <c r="M22" s="6">
        <v>294.83999999999997</v>
      </c>
      <c r="N22" s="6">
        <v>294.83999999999997</v>
      </c>
      <c r="O22" s="6">
        <v>294.83999999999997</v>
      </c>
      <c r="P22" s="6">
        <v>0</v>
      </c>
      <c r="Q22" s="4" t="s">
        <v>26</v>
      </c>
      <c r="R22" s="4">
        <v>0</v>
      </c>
      <c r="S22" s="6">
        <v>7</v>
      </c>
      <c r="T22" s="6">
        <v>16</v>
      </c>
      <c r="U22" s="6">
        <v>45</v>
      </c>
      <c r="V22" s="6">
        <f>IF(ISERROR(VLOOKUP($S$22,'TAR FIN'!$A$1:$O$85,15,0)),0,VLOOKUP($S$22,'TAR FIN'!$A$1:$O$85,15,0))</f>
        <v>40.4</v>
      </c>
      <c r="W22" s="6">
        <f>IF(ISERROR(VLOOKUP($T$22,'TAR FIN'!$A$1:$O$85,15,0)),0,VLOOKUP($T$22,'TAR FIN'!$A$1:$O$85,15,0))</f>
        <v>58.05</v>
      </c>
      <c r="X22" s="6">
        <f>IF(ISERROR(VLOOKUP($U$22,'TAR FIN'!$A$1:$O$85,15,0)),0,VLOOKUP($U$22,'TAR FIN'!$A$1:$O$85,15,0))</f>
        <v>241.37</v>
      </c>
      <c r="Y22" s="6">
        <f ca="1">('TUSD BE'!$AM$5+'TUSD BF'!$AM$5+'TUSD CVA'!$AM$5)*1</f>
        <v>40.932120366733692</v>
      </c>
      <c r="Z22" s="6">
        <f ca="1">('TUSD BE'!$AM$7+'TUSD BF'!$AM$7+'TUSD CVA'!$AM$7)*1</f>
        <v>93.32617220991402</v>
      </c>
      <c r="AA22" s="6">
        <f>('TE BE'!$AB$5+'TE BF'!$AB$5+'TE CVA'!$AB$5)*1</f>
        <v>239.91115615602757</v>
      </c>
      <c r="AB22" s="6">
        <f>$K$22*$V$22</f>
        <v>253308</v>
      </c>
      <c r="AC22" s="6">
        <f>$M$22*$W$22</f>
        <v>17115.461999999996</v>
      </c>
      <c r="AD22" s="6">
        <f>$O$22*$X$22</f>
        <v>71165.530799999993</v>
      </c>
      <c r="AE22" s="6">
        <f ca="1">$K$22*$Y$22</f>
        <v>256644.39469942026</v>
      </c>
      <c r="AF22" s="6">
        <f ca="1">$M$22*$Z$22</f>
        <v>27516.288614371046</v>
      </c>
      <c r="AG22" s="6">
        <f>$O$22*$AA$22</f>
        <v>70735.40528104316</v>
      </c>
    </row>
    <row r="23" spans="1:33" ht="11.25" customHeight="1" x14ac:dyDescent="0.25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35</v>
      </c>
      <c r="I23" s="5">
        <v>44713</v>
      </c>
      <c r="J23" s="6">
        <v>6256</v>
      </c>
      <c r="K23" s="6">
        <v>6256</v>
      </c>
      <c r="L23" s="6">
        <v>339.84</v>
      </c>
      <c r="M23" s="6">
        <v>339.84</v>
      </c>
      <c r="N23" s="6">
        <v>339.84</v>
      </c>
      <c r="O23" s="6">
        <v>339.84</v>
      </c>
      <c r="P23" s="6">
        <v>0</v>
      </c>
      <c r="Q23" s="4" t="s">
        <v>26</v>
      </c>
      <c r="R23" s="4">
        <v>0</v>
      </c>
      <c r="S23" s="6">
        <v>7</v>
      </c>
      <c r="T23" s="6">
        <v>16</v>
      </c>
      <c r="U23" s="6">
        <v>45</v>
      </c>
      <c r="V23" s="6">
        <f>IF(ISERROR(VLOOKUP($S$23,'TAR FIN'!$A$1:$O$85,15,0)),0,VLOOKUP($S$23,'TAR FIN'!$A$1:$O$85,15,0))</f>
        <v>40.4</v>
      </c>
      <c r="W23" s="6">
        <f>IF(ISERROR(VLOOKUP($T$23,'TAR FIN'!$A$1:$O$85,15,0)),0,VLOOKUP($T$23,'TAR FIN'!$A$1:$O$85,15,0))</f>
        <v>58.05</v>
      </c>
      <c r="X23" s="6">
        <f>IF(ISERROR(VLOOKUP($U$23,'TAR FIN'!$A$1:$O$85,15,0)),0,VLOOKUP($U$23,'TAR FIN'!$A$1:$O$85,15,0))</f>
        <v>241.37</v>
      </c>
      <c r="Y23" s="6">
        <f ca="1">('TUSD BE'!$AM$5+'TUSD BF'!$AM$5+'TUSD CVA'!$AM$5)*1</f>
        <v>40.932120366733692</v>
      </c>
      <c r="Z23" s="6">
        <f ca="1">('TUSD BE'!$AM$7+'TUSD BF'!$AM$7+'TUSD CVA'!$AM$7)*1</f>
        <v>93.32617220991402</v>
      </c>
      <c r="AA23" s="6">
        <f>('TE BE'!$AB$5+'TE BF'!$AB$5+'TE CVA'!$AB$5)*1</f>
        <v>239.91115615602757</v>
      </c>
      <c r="AB23" s="6">
        <f>$K$23*$V$23</f>
        <v>252742.39999999999</v>
      </c>
      <c r="AC23" s="6">
        <f>$M$23*$W$23</f>
        <v>19727.711999999996</v>
      </c>
      <c r="AD23" s="6">
        <f>$O$23*$X$23</f>
        <v>82027.180800000002</v>
      </c>
      <c r="AE23" s="6">
        <f ca="1">$K$23*$Y$23</f>
        <v>256071.34501428597</v>
      </c>
      <c r="AF23" s="6">
        <f ca="1">$M$23*$Z$23</f>
        <v>31715.966363817177</v>
      </c>
      <c r="AG23" s="6">
        <f>$O$23*$AA$23</f>
        <v>81531.407308064401</v>
      </c>
    </row>
    <row r="24" spans="1:33" ht="11.25" customHeight="1" x14ac:dyDescent="0.25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35</v>
      </c>
      <c r="I24" s="5">
        <v>44743</v>
      </c>
      <c r="J24" s="6">
        <v>6408</v>
      </c>
      <c r="K24" s="6">
        <v>6408</v>
      </c>
      <c r="L24" s="6">
        <v>330.72</v>
      </c>
      <c r="M24" s="6">
        <v>330.72</v>
      </c>
      <c r="N24" s="6">
        <v>330.72</v>
      </c>
      <c r="O24" s="6">
        <v>330.72</v>
      </c>
      <c r="P24" s="6">
        <v>0</v>
      </c>
      <c r="Q24" s="4" t="s">
        <v>26</v>
      </c>
      <c r="R24" s="4">
        <v>0</v>
      </c>
      <c r="S24" s="6">
        <v>7</v>
      </c>
      <c r="T24" s="6">
        <v>16</v>
      </c>
      <c r="U24" s="6">
        <v>45</v>
      </c>
      <c r="V24" s="6">
        <f>IF(ISERROR(VLOOKUP($S$24,'TAR FIN'!$A$1:$O$85,15,0)),0,VLOOKUP($S$24,'TAR FIN'!$A$1:$O$85,15,0))</f>
        <v>40.4</v>
      </c>
      <c r="W24" s="6">
        <f>IF(ISERROR(VLOOKUP($T$24,'TAR FIN'!$A$1:$O$85,15,0)),0,VLOOKUP($T$24,'TAR FIN'!$A$1:$O$85,15,0))</f>
        <v>58.05</v>
      </c>
      <c r="X24" s="6">
        <f>IF(ISERROR(VLOOKUP($U$24,'TAR FIN'!$A$1:$O$85,15,0)),0,VLOOKUP($U$24,'TAR FIN'!$A$1:$O$85,15,0))</f>
        <v>241.37</v>
      </c>
      <c r="Y24" s="6">
        <f ca="1">('TUSD BE'!$AM$5+'TUSD BF'!$AM$5+'TUSD CVA'!$AM$5)*1</f>
        <v>40.932120366733692</v>
      </c>
      <c r="Z24" s="6">
        <f ca="1">('TUSD BE'!$AM$7+'TUSD BF'!$AM$7+'TUSD CVA'!$AM$7)*1</f>
        <v>93.32617220991402</v>
      </c>
      <c r="AA24" s="6">
        <f>('TE BE'!$AB$5+'TE BF'!$AB$5+'TE CVA'!$AB$5)*1</f>
        <v>239.91115615602757</v>
      </c>
      <c r="AB24" s="6">
        <f>$K$24*$V$24</f>
        <v>258883.19999999998</v>
      </c>
      <c r="AC24" s="6">
        <f>$M$24*$W$24</f>
        <v>19198.296000000002</v>
      </c>
      <c r="AD24" s="6">
        <f>$O$24*$X$24</f>
        <v>79825.886400000003</v>
      </c>
      <c r="AE24" s="6">
        <f ca="1">$K$24*$Y$24</f>
        <v>262293.02731002949</v>
      </c>
      <c r="AF24" s="6">
        <f ca="1">$M$24*$Z$24</f>
        <v>30864.831673262768</v>
      </c>
      <c r="AG24" s="6">
        <f>$O$24*$AA$24</f>
        <v>79343.417563921452</v>
      </c>
    </row>
    <row r="25" spans="1:33" ht="11.25" customHeight="1" x14ac:dyDescent="0.25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35</v>
      </c>
      <c r="I25" s="5">
        <v>44774</v>
      </c>
      <c r="J25" s="6">
        <v>6396</v>
      </c>
      <c r="K25" s="6">
        <v>6396</v>
      </c>
      <c r="L25" s="6">
        <v>342.12</v>
      </c>
      <c r="M25" s="6">
        <v>342.12</v>
      </c>
      <c r="N25" s="6">
        <v>342.12</v>
      </c>
      <c r="O25" s="6">
        <v>342.12</v>
      </c>
      <c r="P25" s="6">
        <v>0</v>
      </c>
      <c r="Q25" s="4" t="s">
        <v>26</v>
      </c>
      <c r="R25" s="4">
        <v>0</v>
      </c>
      <c r="S25" s="6">
        <v>7</v>
      </c>
      <c r="T25" s="6">
        <v>16</v>
      </c>
      <c r="U25" s="6">
        <v>45</v>
      </c>
      <c r="V25" s="6">
        <f>IF(ISERROR(VLOOKUP($S$25,'TAR FIN'!$A$1:$O$85,15,0)),0,VLOOKUP($S$25,'TAR FIN'!$A$1:$O$85,15,0))</f>
        <v>40.4</v>
      </c>
      <c r="W25" s="6">
        <f>IF(ISERROR(VLOOKUP($T$25,'TAR FIN'!$A$1:$O$85,15,0)),0,VLOOKUP($T$25,'TAR FIN'!$A$1:$O$85,15,0))</f>
        <v>58.05</v>
      </c>
      <c r="X25" s="6">
        <f>IF(ISERROR(VLOOKUP($U$25,'TAR FIN'!$A$1:$O$85,15,0)),0,VLOOKUP($U$25,'TAR FIN'!$A$1:$O$85,15,0))</f>
        <v>241.37</v>
      </c>
      <c r="Y25" s="6">
        <f ca="1">('TUSD BE'!$AM$5+'TUSD BF'!$AM$5+'TUSD CVA'!$AM$5)*1</f>
        <v>40.932120366733692</v>
      </c>
      <c r="Z25" s="6">
        <f ca="1">('TUSD BE'!$AM$7+'TUSD BF'!$AM$7+'TUSD CVA'!$AM$7)*1</f>
        <v>93.32617220991402</v>
      </c>
      <c r="AA25" s="6">
        <f>('TE BE'!$AB$5+'TE BF'!$AB$5+'TE CVA'!$AB$5)*1</f>
        <v>239.91115615602757</v>
      </c>
      <c r="AB25" s="6">
        <f>$K$25*$V$25</f>
        <v>258398.4</v>
      </c>
      <c r="AC25" s="6">
        <f>$M$25*$W$25</f>
        <v>19860.065999999999</v>
      </c>
      <c r="AD25" s="6">
        <f>$O$25*$X$25</f>
        <v>82577.504400000005</v>
      </c>
      <c r="AE25" s="6">
        <f ca="1">$K$25*$Y$25</f>
        <v>261801.8418656287</v>
      </c>
      <c r="AF25" s="6">
        <f ca="1">$M$25*$Z$25</f>
        <v>31928.750036455785</v>
      </c>
      <c r="AG25" s="6">
        <f>$O$25*$AA$25</f>
        <v>82078.40474410016</v>
      </c>
    </row>
    <row r="26" spans="1:33" ht="11.25" customHeight="1" x14ac:dyDescent="0.25">
      <c r="A26" s="4" t="s">
        <v>21</v>
      </c>
      <c r="B26" s="4" t="s">
        <v>33</v>
      </c>
      <c r="C26" s="4" t="s">
        <v>37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36</v>
      </c>
      <c r="I26" s="5">
        <v>44440</v>
      </c>
      <c r="J26" s="6">
        <v>0</v>
      </c>
      <c r="K26" s="6">
        <v>0</v>
      </c>
      <c r="L26" s="6">
        <v>793.62900000000002</v>
      </c>
      <c r="M26" s="6">
        <v>793.62900000000002</v>
      </c>
      <c r="N26" s="6">
        <v>793.62900000000002</v>
      </c>
      <c r="O26" s="6">
        <v>793.62900000000002</v>
      </c>
      <c r="P26" s="6">
        <v>0</v>
      </c>
      <c r="Q26" s="4" t="s">
        <v>26</v>
      </c>
      <c r="R26" s="4">
        <v>0</v>
      </c>
      <c r="S26" s="6">
        <v>0</v>
      </c>
      <c r="T26" s="6">
        <v>21</v>
      </c>
      <c r="U26" s="6">
        <v>30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58.05</v>
      </c>
      <c r="X26" s="6">
        <f>IF(ISERROR(VLOOKUP($U$26,'TAR FIN'!$A$1:$O$85,15,0)),0,VLOOKUP($U$26,'TAR FIN'!$A$1:$O$85,15,0))</f>
        <v>241.37</v>
      </c>
      <c r="Y26" s="6"/>
      <c r="Z26" s="6">
        <f ca="1">('TUSD BE'!$AM$12+'TUSD BF'!$AM$12+'TUSD CVA'!$AM$12)*1</f>
        <v>93.32617220991402</v>
      </c>
      <c r="AA26" s="6">
        <f>('TE BE'!$AB$6+'TE BF'!$AB$6+'TE CVA'!$AB$6)*1</f>
        <v>239.91115615602757</v>
      </c>
      <c r="AB26" s="6">
        <f>$K$26*$V$26</f>
        <v>0</v>
      </c>
      <c r="AC26" s="6">
        <f>$M$26*$W$26</f>
        <v>46070.16345</v>
      </c>
      <c r="AD26" s="6">
        <f>$O$26*$X$26</f>
        <v>191558.23173</v>
      </c>
      <c r="AE26" s="6">
        <f>$K$26*$Y$26</f>
        <v>0</v>
      </c>
      <c r="AF26" s="6">
        <f ca="1">$M$26*$Z$26</f>
        <v>74066.356724781857</v>
      </c>
      <c r="AG26" s="6">
        <f>$O$26*$AA$26</f>
        <v>190400.450948952</v>
      </c>
    </row>
    <row r="27" spans="1:33" ht="11.25" customHeight="1" x14ac:dyDescent="0.25">
      <c r="A27" s="4" t="s">
        <v>21</v>
      </c>
      <c r="B27" s="4" t="s">
        <v>33</v>
      </c>
      <c r="C27" s="4" t="s">
        <v>37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36</v>
      </c>
      <c r="I27" s="5">
        <v>44470</v>
      </c>
      <c r="J27" s="6">
        <v>0</v>
      </c>
      <c r="K27" s="6">
        <v>0</v>
      </c>
      <c r="L27" s="6">
        <v>839.27700000000004</v>
      </c>
      <c r="M27" s="6">
        <v>839.27700000000004</v>
      </c>
      <c r="N27" s="6">
        <v>839.27700000000004</v>
      </c>
      <c r="O27" s="6">
        <v>839.27700000000004</v>
      </c>
      <c r="P27" s="6">
        <v>0</v>
      </c>
      <c r="Q27" s="4" t="s">
        <v>26</v>
      </c>
      <c r="R27" s="4">
        <v>0</v>
      </c>
      <c r="S27" s="6">
        <v>0</v>
      </c>
      <c r="T27" s="6">
        <v>21</v>
      </c>
      <c r="U27" s="6">
        <v>30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58.05</v>
      </c>
      <c r="X27" s="6">
        <f>IF(ISERROR(VLOOKUP($U$27,'TAR FIN'!$A$1:$O$85,15,0)),0,VLOOKUP($U$27,'TAR FIN'!$A$1:$O$85,15,0))</f>
        <v>241.37</v>
      </c>
      <c r="Y27" s="6"/>
      <c r="Z27" s="6">
        <f ca="1">('TUSD BE'!$AM$12+'TUSD BF'!$AM$12+'TUSD CVA'!$AM$12)*1</f>
        <v>93.32617220991402</v>
      </c>
      <c r="AA27" s="6">
        <f>('TE BE'!$AB$6+'TE BF'!$AB$6+'TE CVA'!$AB$6)*1</f>
        <v>239.91115615602757</v>
      </c>
      <c r="AB27" s="6">
        <f>$K$27*$V$27</f>
        <v>0</v>
      </c>
      <c r="AC27" s="6">
        <f>$M$27*$W$27</f>
        <v>48720.029849999999</v>
      </c>
      <c r="AD27" s="6">
        <f>$O$27*$X$27</f>
        <v>202576.28949000002</v>
      </c>
      <c r="AE27" s="6">
        <f>$K$27*$Y$27</f>
        <v>0</v>
      </c>
      <c r="AF27" s="6">
        <f ca="1">$M$27*$Z$27</f>
        <v>78326.509833820019</v>
      </c>
      <c r="AG27" s="6">
        <f>$O$27*$AA$27</f>
        <v>201351.91540516238</v>
      </c>
    </row>
    <row r="28" spans="1:33" ht="11.25" customHeight="1" x14ac:dyDescent="0.25">
      <c r="A28" s="4" t="s">
        <v>21</v>
      </c>
      <c r="B28" s="4" t="s">
        <v>33</v>
      </c>
      <c r="C28" s="4" t="s">
        <v>37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36</v>
      </c>
      <c r="I28" s="5">
        <v>44501</v>
      </c>
      <c r="J28" s="6">
        <v>0</v>
      </c>
      <c r="K28" s="6">
        <v>0</v>
      </c>
      <c r="L28" s="6">
        <v>813.45100000000002</v>
      </c>
      <c r="M28" s="6">
        <v>813.45100000000002</v>
      </c>
      <c r="N28" s="6">
        <v>813.45100000000002</v>
      </c>
      <c r="O28" s="6">
        <v>813.45100000000002</v>
      </c>
      <c r="P28" s="6">
        <v>0</v>
      </c>
      <c r="Q28" s="4" t="s">
        <v>26</v>
      </c>
      <c r="R28" s="4">
        <v>0</v>
      </c>
      <c r="S28" s="6">
        <v>0</v>
      </c>
      <c r="T28" s="6">
        <v>21</v>
      </c>
      <c r="U28" s="6">
        <v>30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58.05</v>
      </c>
      <c r="X28" s="6">
        <f>IF(ISERROR(VLOOKUP($U$28,'TAR FIN'!$A$1:$O$85,15,0)),0,VLOOKUP($U$28,'TAR FIN'!$A$1:$O$85,15,0))</f>
        <v>241.37</v>
      </c>
      <c r="Y28" s="6"/>
      <c r="Z28" s="6">
        <f ca="1">('TUSD BE'!$AM$12+'TUSD BF'!$AM$12+'TUSD CVA'!$AM$12)*1</f>
        <v>93.32617220991402</v>
      </c>
      <c r="AA28" s="6">
        <f>('TE BE'!$AB$6+'TE BF'!$AB$6+'TE CVA'!$AB$6)*1</f>
        <v>239.91115615602757</v>
      </c>
      <c r="AB28" s="6">
        <f>$K$28*$V$28</f>
        <v>0</v>
      </c>
      <c r="AC28" s="6">
        <f>$M$28*$W$28</f>
        <v>47220.830549999999</v>
      </c>
      <c r="AD28" s="6">
        <f>$O$28*$X$28</f>
        <v>196342.66787</v>
      </c>
      <c r="AE28" s="6">
        <f>$K$28*$Y$28</f>
        <v>0</v>
      </c>
      <c r="AF28" s="6">
        <f ca="1">$M$28*$Z$28</f>
        <v>75916.268110326768</v>
      </c>
      <c r="AG28" s="6">
        <f>$O$28*$AA$28</f>
        <v>195155.96988627678</v>
      </c>
    </row>
    <row r="29" spans="1:33" ht="11.25" customHeight="1" x14ac:dyDescent="0.25">
      <c r="A29" s="4" t="s">
        <v>21</v>
      </c>
      <c r="B29" s="4" t="s">
        <v>33</v>
      </c>
      <c r="C29" s="4" t="s">
        <v>37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36</v>
      </c>
      <c r="I29" s="5">
        <v>44531</v>
      </c>
      <c r="J29" s="6">
        <v>0</v>
      </c>
      <c r="K29" s="6">
        <v>0</v>
      </c>
      <c r="L29" s="6">
        <v>570.33299999999997</v>
      </c>
      <c r="M29" s="6">
        <v>570.33299999999997</v>
      </c>
      <c r="N29" s="6">
        <v>570.33299999999997</v>
      </c>
      <c r="O29" s="6">
        <v>570.33299999999997</v>
      </c>
      <c r="P29" s="6">
        <v>0</v>
      </c>
      <c r="Q29" s="4" t="s">
        <v>26</v>
      </c>
      <c r="R29" s="4">
        <v>0</v>
      </c>
      <c r="S29" s="6">
        <v>0</v>
      </c>
      <c r="T29" s="6">
        <v>21</v>
      </c>
      <c r="U29" s="6">
        <v>30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58.05</v>
      </c>
      <c r="X29" s="6">
        <f>IF(ISERROR(VLOOKUP($U$29,'TAR FIN'!$A$1:$O$85,15,0)),0,VLOOKUP($U$29,'TAR FIN'!$A$1:$O$85,15,0))</f>
        <v>241.37</v>
      </c>
      <c r="Y29" s="6"/>
      <c r="Z29" s="6">
        <f ca="1">('TUSD BE'!$AM$12+'TUSD BF'!$AM$12+'TUSD CVA'!$AM$12)*1</f>
        <v>93.32617220991402</v>
      </c>
      <c r="AA29" s="6">
        <f>('TE BE'!$AB$6+'TE BF'!$AB$6+'TE CVA'!$AB$6)*1</f>
        <v>239.91115615602757</v>
      </c>
      <c r="AB29" s="6">
        <f>$K$29*$V$29</f>
        <v>0</v>
      </c>
      <c r="AC29" s="6">
        <f>$M$29*$W$29</f>
        <v>33107.830649999996</v>
      </c>
      <c r="AD29" s="6">
        <f>$O$29*$X$29</f>
        <v>137661.27620999998</v>
      </c>
      <c r="AE29" s="6">
        <f>$K$29*$Y$29</f>
        <v>0</v>
      </c>
      <c r="AF29" s="6">
        <f ca="1">$M$29*$Z$29</f>
        <v>53226.995774996889</v>
      </c>
      <c r="AG29" s="6">
        <f>$O$29*$AA$29</f>
        <v>136829.24942393566</v>
      </c>
    </row>
    <row r="30" spans="1:33" ht="11.25" customHeight="1" x14ac:dyDescent="0.25">
      <c r="A30" s="4" t="s">
        <v>21</v>
      </c>
      <c r="B30" s="4" t="s">
        <v>33</v>
      </c>
      <c r="C30" s="4" t="s">
        <v>37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36</v>
      </c>
      <c r="I30" s="5">
        <v>44562</v>
      </c>
      <c r="J30" s="6">
        <v>0</v>
      </c>
      <c r="K30" s="6">
        <v>0</v>
      </c>
      <c r="L30" s="6">
        <v>540.96799999999996</v>
      </c>
      <c r="M30" s="6">
        <v>540.96799999999996</v>
      </c>
      <c r="N30" s="6">
        <v>540.96799999999996</v>
      </c>
      <c r="O30" s="6">
        <v>540.96799999999996</v>
      </c>
      <c r="P30" s="6">
        <v>0</v>
      </c>
      <c r="Q30" s="4" t="s">
        <v>26</v>
      </c>
      <c r="R30" s="4">
        <v>0</v>
      </c>
      <c r="S30" s="6">
        <v>0</v>
      </c>
      <c r="T30" s="6">
        <v>21</v>
      </c>
      <c r="U30" s="6">
        <v>30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58.05</v>
      </c>
      <c r="X30" s="6">
        <f>IF(ISERROR(VLOOKUP($U$30,'TAR FIN'!$A$1:$O$85,15,0)),0,VLOOKUP($U$30,'TAR FIN'!$A$1:$O$85,15,0))</f>
        <v>241.37</v>
      </c>
      <c r="Y30" s="6"/>
      <c r="Z30" s="6">
        <f ca="1">('TUSD BE'!$AM$12+'TUSD BF'!$AM$12+'TUSD CVA'!$AM$12)*1</f>
        <v>93.32617220991402</v>
      </c>
      <c r="AA30" s="6">
        <f>('TE BE'!$AB$6+'TE BF'!$AB$6+'TE CVA'!$AB$6)*1</f>
        <v>239.91115615602757</v>
      </c>
      <c r="AB30" s="6">
        <f>$K$30*$V$30</f>
        <v>0</v>
      </c>
      <c r="AC30" s="6">
        <f>$M$30*$W$30</f>
        <v>31403.192399999996</v>
      </c>
      <c r="AD30" s="6">
        <f>$O$30*$X$30</f>
        <v>130573.44615999999</v>
      </c>
      <c r="AE30" s="6">
        <f>$K$30*$Y$30</f>
        <v>0</v>
      </c>
      <c r="AF30" s="6">
        <f ca="1">$M$30*$Z$30</f>
        <v>50486.472728052766</v>
      </c>
      <c r="AG30" s="6">
        <f>$O$30*$AA$30</f>
        <v>129784.25832341392</v>
      </c>
    </row>
    <row r="31" spans="1:33" ht="11.25" customHeight="1" x14ac:dyDescent="0.25">
      <c r="A31" s="4" t="s">
        <v>21</v>
      </c>
      <c r="B31" s="4" t="s">
        <v>33</v>
      </c>
      <c r="C31" s="4" t="s">
        <v>37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36</v>
      </c>
      <c r="I31" s="5">
        <v>44593</v>
      </c>
      <c r="J31" s="6">
        <v>0</v>
      </c>
      <c r="K31" s="6">
        <v>0</v>
      </c>
      <c r="L31" s="6">
        <v>697.9</v>
      </c>
      <c r="M31" s="6">
        <v>697.9</v>
      </c>
      <c r="N31" s="6">
        <v>697.9</v>
      </c>
      <c r="O31" s="6">
        <v>697.9</v>
      </c>
      <c r="P31" s="6">
        <v>0</v>
      </c>
      <c r="Q31" s="4" t="s">
        <v>26</v>
      </c>
      <c r="R31" s="4">
        <v>0</v>
      </c>
      <c r="S31" s="6">
        <v>0</v>
      </c>
      <c r="T31" s="6">
        <v>21</v>
      </c>
      <c r="U31" s="6">
        <v>30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58.05</v>
      </c>
      <c r="X31" s="6">
        <f>IF(ISERROR(VLOOKUP($U$31,'TAR FIN'!$A$1:$O$85,15,0)),0,VLOOKUP($U$31,'TAR FIN'!$A$1:$O$85,15,0))</f>
        <v>241.37</v>
      </c>
      <c r="Y31" s="6"/>
      <c r="Z31" s="6">
        <f ca="1">('TUSD BE'!$AM$12+'TUSD BF'!$AM$12+'TUSD CVA'!$AM$12)*1</f>
        <v>93.32617220991402</v>
      </c>
      <c r="AA31" s="6">
        <f>('TE BE'!$AB$6+'TE BF'!$AB$6+'TE CVA'!$AB$6)*1</f>
        <v>239.91115615602757</v>
      </c>
      <c r="AB31" s="6">
        <f>$K$31*$V$31</f>
        <v>0</v>
      </c>
      <c r="AC31" s="6">
        <f>$M$31*$W$31</f>
        <v>40513.094999999994</v>
      </c>
      <c r="AD31" s="6">
        <f>$O$31*$X$31</f>
        <v>168452.12299999999</v>
      </c>
      <c r="AE31" s="6">
        <f>$K$31*$Y$31</f>
        <v>0</v>
      </c>
      <c r="AF31" s="6">
        <f ca="1">$M$31*$Z$31</f>
        <v>65132.335585298992</v>
      </c>
      <c r="AG31" s="6">
        <f>$O$31*$AA$31</f>
        <v>167433.99588129163</v>
      </c>
    </row>
    <row r="32" spans="1:33" ht="11.25" customHeight="1" x14ac:dyDescent="0.25">
      <c r="A32" s="4" t="s">
        <v>21</v>
      </c>
      <c r="B32" s="4" t="s">
        <v>33</v>
      </c>
      <c r="C32" s="4" t="s">
        <v>37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36</v>
      </c>
      <c r="I32" s="5">
        <v>44621</v>
      </c>
      <c r="J32" s="6">
        <v>0</v>
      </c>
      <c r="K32" s="6">
        <v>0</v>
      </c>
      <c r="L32" s="6">
        <v>812.10500000000002</v>
      </c>
      <c r="M32" s="6">
        <v>812.10500000000002</v>
      </c>
      <c r="N32" s="6">
        <v>812.10500000000002</v>
      </c>
      <c r="O32" s="6">
        <v>812.10500000000002</v>
      </c>
      <c r="P32" s="6">
        <v>0</v>
      </c>
      <c r="Q32" s="4" t="s">
        <v>26</v>
      </c>
      <c r="R32" s="4">
        <v>0</v>
      </c>
      <c r="S32" s="6">
        <v>0</v>
      </c>
      <c r="T32" s="6">
        <v>21</v>
      </c>
      <c r="U32" s="6">
        <v>30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58.05</v>
      </c>
      <c r="X32" s="6">
        <f>IF(ISERROR(VLOOKUP($U$32,'TAR FIN'!$A$1:$O$85,15,0)),0,VLOOKUP($U$32,'TAR FIN'!$A$1:$O$85,15,0))</f>
        <v>241.37</v>
      </c>
      <c r="Y32" s="6"/>
      <c r="Z32" s="6">
        <f ca="1">('TUSD BE'!$AM$12+'TUSD BF'!$AM$12+'TUSD CVA'!$AM$12)*1</f>
        <v>93.32617220991402</v>
      </c>
      <c r="AA32" s="6">
        <f>('TE BE'!$AB$6+'TE BF'!$AB$6+'TE CVA'!$AB$6)*1</f>
        <v>239.91115615602757</v>
      </c>
      <c r="AB32" s="6">
        <f>$K$32*$V$32</f>
        <v>0</v>
      </c>
      <c r="AC32" s="6">
        <f>$M$32*$W$32</f>
        <v>47142.695249999997</v>
      </c>
      <c r="AD32" s="6">
        <f>$O$32*$X$32</f>
        <v>196017.78385000001</v>
      </c>
      <c r="AE32" s="6">
        <f>$K$32*$Y$32</f>
        <v>0</v>
      </c>
      <c r="AF32" s="6">
        <f ca="1">$M$32*$Z$32</f>
        <v>75790.651082532233</v>
      </c>
      <c r="AG32" s="6">
        <f>$O$32*$AA$32</f>
        <v>194833.04947009077</v>
      </c>
    </row>
    <row r="33" spans="1:33" ht="11.25" customHeight="1" x14ac:dyDescent="0.25">
      <c r="A33" s="4" t="s">
        <v>21</v>
      </c>
      <c r="B33" s="4" t="s">
        <v>33</v>
      </c>
      <c r="C33" s="4" t="s">
        <v>37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36</v>
      </c>
      <c r="I33" s="5">
        <v>44652</v>
      </c>
      <c r="J33" s="6">
        <v>0</v>
      </c>
      <c r="K33" s="6">
        <v>0</v>
      </c>
      <c r="L33" s="6">
        <v>686.30200000000002</v>
      </c>
      <c r="M33" s="6">
        <v>686.30200000000002</v>
      </c>
      <c r="N33" s="6">
        <v>686.30200000000002</v>
      </c>
      <c r="O33" s="6">
        <v>686.30200000000002</v>
      </c>
      <c r="P33" s="6">
        <v>0</v>
      </c>
      <c r="Q33" s="4" t="s">
        <v>26</v>
      </c>
      <c r="R33" s="4">
        <v>0</v>
      </c>
      <c r="S33" s="6">
        <v>0</v>
      </c>
      <c r="T33" s="6">
        <v>21</v>
      </c>
      <c r="U33" s="6">
        <v>30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58.05</v>
      </c>
      <c r="X33" s="6">
        <f>IF(ISERROR(VLOOKUP($U$33,'TAR FIN'!$A$1:$O$85,15,0)),0,VLOOKUP($U$33,'TAR FIN'!$A$1:$O$85,15,0))</f>
        <v>241.37</v>
      </c>
      <c r="Y33" s="6"/>
      <c r="Z33" s="6">
        <f ca="1">('TUSD BE'!$AM$12+'TUSD BF'!$AM$12+'TUSD CVA'!$AM$12)*1</f>
        <v>93.32617220991402</v>
      </c>
      <c r="AA33" s="6">
        <f>('TE BE'!$AB$6+'TE BF'!$AB$6+'TE CVA'!$AB$6)*1</f>
        <v>239.91115615602757</v>
      </c>
      <c r="AB33" s="6">
        <f>$K$33*$V$33</f>
        <v>0</v>
      </c>
      <c r="AC33" s="6">
        <f>$M$33*$W$33</f>
        <v>39839.831099999996</v>
      </c>
      <c r="AD33" s="6">
        <f>$O$33*$X$33</f>
        <v>165652.71374000001</v>
      </c>
      <c r="AE33" s="6">
        <f>$K$33*$Y$33</f>
        <v>0</v>
      </c>
      <c r="AF33" s="6">
        <f ca="1">$M$33*$Z$33</f>
        <v>64049.938640008411</v>
      </c>
      <c r="AG33" s="6">
        <f>$O$33*$AA$33</f>
        <v>164651.50629219404</v>
      </c>
    </row>
    <row r="34" spans="1:33" ht="11.25" customHeight="1" x14ac:dyDescent="0.25">
      <c r="A34" s="4" t="s">
        <v>21</v>
      </c>
      <c r="B34" s="4" t="s">
        <v>33</v>
      </c>
      <c r="C34" s="4" t="s">
        <v>37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36</v>
      </c>
      <c r="I34" s="5">
        <v>44682</v>
      </c>
      <c r="J34" s="6">
        <v>0</v>
      </c>
      <c r="K34" s="6">
        <v>0</v>
      </c>
      <c r="L34" s="6">
        <v>821.25599999999997</v>
      </c>
      <c r="M34" s="6">
        <v>821.25599999999997</v>
      </c>
      <c r="N34" s="6">
        <v>821.25599999999997</v>
      </c>
      <c r="O34" s="6">
        <v>821.25599999999997</v>
      </c>
      <c r="P34" s="6">
        <v>0</v>
      </c>
      <c r="Q34" s="4" t="s">
        <v>26</v>
      </c>
      <c r="R34" s="4">
        <v>0</v>
      </c>
      <c r="S34" s="6">
        <v>0</v>
      </c>
      <c r="T34" s="6">
        <v>21</v>
      </c>
      <c r="U34" s="6">
        <v>30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58.05</v>
      </c>
      <c r="X34" s="6">
        <f>IF(ISERROR(VLOOKUP($U$34,'TAR FIN'!$A$1:$O$85,15,0)),0,VLOOKUP($U$34,'TAR FIN'!$A$1:$O$85,15,0))</f>
        <v>241.37</v>
      </c>
      <c r="Y34" s="6"/>
      <c r="Z34" s="6">
        <f ca="1">('TUSD BE'!$AM$12+'TUSD BF'!$AM$12+'TUSD CVA'!$AM$12)*1</f>
        <v>93.32617220991402</v>
      </c>
      <c r="AA34" s="6">
        <f>('TE BE'!$AB$6+'TE BF'!$AB$6+'TE CVA'!$AB$6)*1</f>
        <v>239.91115615602757</v>
      </c>
      <c r="AB34" s="6">
        <f>$K$34*$V$34</f>
        <v>0</v>
      </c>
      <c r="AC34" s="6">
        <f>$M$34*$W$34</f>
        <v>47673.910799999998</v>
      </c>
      <c r="AD34" s="6">
        <f>$O$34*$X$34</f>
        <v>198226.56072000001</v>
      </c>
      <c r="AE34" s="6">
        <f>$K$34*$Y$34</f>
        <v>0</v>
      </c>
      <c r="AF34" s="6">
        <f ca="1">$M$34*$Z$34</f>
        <v>76644.678884425142</v>
      </c>
      <c r="AG34" s="6">
        <f>$O$34*$AA$34</f>
        <v>197028.47646007457</v>
      </c>
    </row>
    <row r="35" spans="1:33" ht="11.25" customHeight="1" x14ac:dyDescent="0.25">
      <c r="A35" s="4" t="s">
        <v>21</v>
      </c>
      <c r="B35" s="4" t="s">
        <v>33</v>
      </c>
      <c r="C35" s="4" t="s">
        <v>37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36</v>
      </c>
      <c r="I35" s="5">
        <v>44713</v>
      </c>
      <c r="J35" s="6">
        <v>0</v>
      </c>
      <c r="K35" s="6">
        <v>0</v>
      </c>
      <c r="L35" s="6">
        <v>813.048</v>
      </c>
      <c r="M35" s="6">
        <v>813.048</v>
      </c>
      <c r="N35" s="6">
        <v>813.048</v>
      </c>
      <c r="O35" s="6">
        <v>813.048</v>
      </c>
      <c r="P35" s="6">
        <v>0</v>
      </c>
      <c r="Q35" s="4" t="s">
        <v>26</v>
      </c>
      <c r="R35" s="4">
        <v>0</v>
      </c>
      <c r="S35" s="6">
        <v>0</v>
      </c>
      <c r="T35" s="6">
        <v>21</v>
      </c>
      <c r="U35" s="6">
        <v>30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58.05</v>
      </c>
      <c r="X35" s="6">
        <f>IF(ISERROR(VLOOKUP($U$35,'TAR FIN'!$A$1:$O$85,15,0)),0,VLOOKUP($U$35,'TAR FIN'!$A$1:$O$85,15,0))</f>
        <v>241.37</v>
      </c>
      <c r="Y35" s="6"/>
      <c r="Z35" s="6">
        <f ca="1">('TUSD BE'!$AM$12+'TUSD BF'!$AM$12+'TUSD CVA'!$AM$12)*1</f>
        <v>93.32617220991402</v>
      </c>
      <c r="AA35" s="6">
        <f>('TE BE'!$AB$6+'TE BF'!$AB$6+'TE CVA'!$AB$6)*1</f>
        <v>239.91115615602757</v>
      </c>
      <c r="AB35" s="6">
        <f>$K$35*$V$35</f>
        <v>0</v>
      </c>
      <c r="AC35" s="6">
        <f>$M$35*$W$35</f>
        <v>47197.436399999999</v>
      </c>
      <c r="AD35" s="6">
        <f>$O$35*$X$35</f>
        <v>196245.39576000001</v>
      </c>
      <c r="AE35" s="6">
        <f>$K$35*$Y$35</f>
        <v>0</v>
      </c>
      <c r="AF35" s="6">
        <f ca="1">$M$35*$Z$35</f>
        <v>75878.657662926169</v>
      </c>
      <c r="AG35" s="6">
        <f>$O$35*$AA$35</f>
        <v>195059.28569034592</v>
      </c>
    </row>
    <row r="36" spans="1:33" ht="11.25" customHeight="1" x14ac:dyDescent="0.25">
      <c r="A36" s="4" t="s">
        <v>21</v>
      </c>
      <c r="B36" s="4" t="s">
        <v>33</v>
      </c>
      <c r="C36" s="4" t="s">
        <v>37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36</v>
      </c>
      <c r="I36" s="5">
        <v>44743</v>
      </c>
      <c r="J36" s="6">
        <v>0</v>
      </c>
      <c r="K36" s="6">
        <v>0</v>
      </c>
      <c r="L36" s="6">
        <v>783.96100000000001</v>
      </c>
      <c r="M36" s="6">
        <v>783.96100000000001</v>
      </c>
      <c r="N36" s="6">
        <v>783.96100000000001</v>
      </c>
      <c r="O36" s="6">
        <v>783.96100000000001</v>
      </c>
      <c r="P36" s="6">
        <v>0</v>
      </c>
      <c r="Q36" s="4" t="s">
        <v>26</v>
      </c>
      <c r="R36" s="4">
        <v>0</v>
      </c>
      <c r="S36" s="6">
        <v>0</v>
      </c>
      <c r="T36" s="6">
        <v>21</v>
      </c>
      <c r="U36" s="6">
        <v>30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58.05</v>
      </c>
      <c r="X36" s="6">
        <f>IF(ISERROR(VLOOKUP($U$36,'TAR FIN'!$A$1:$O$85,15,0)),0,VLOOKUP($U$36,'TAR FIN'!$A$1:$O$85,15,0))</f>
        <v>241.37</v>
      </c>
      <c r="Y36" s="6"/>
      <c r="Z36" s="6">
        <f ca="1">('TUSD BE'!$AM$12+'TUSD BF'!$AM$12+'TUSD CVA'!$AM$12)*1</f>
        <v>93.32617220991402</v>
      </c>
      <c r="AA36" s="6">
        <f>('TE BE'!$AB$6+'TE BF'!$AB$6+'TE CVA'!$AB$6)*1</f>
        <v>239.91115615602757</v>
      </c>
      <c r="AB36" s="6">
        <f>$K$36*$V$36</f>
        <v>0</v>
      </c>
      <c r="AC36" s="6">
        <f>$M$36*$W$36</f>
        <v>45508.936049999997</v>
      </c>
      <c r="AD36" s="6">
        <f>$O$36*$X$36</f>
        <v>189224.66657</v>
      </c>
      <c r="AE36" s="6">
        <f>$K$36*$Y$36</f>
        <v>0</v>
      </c>
      <c r="AF36" s="6">
        <f ca="1">$M$36*$Z$36</f>
        <v>73164.079291856411</v>
      </c>
      <c r="AG36" s="6">
        <f>$O$36*$AA$36</f>
        <v>188080.98989123554</v>
      </c>
    </row>
    <row r="37" spans="1:33" ht="11.25" customHeight="1" x14ac:dyDescent="0.25">
      <c r="A37" s="4" t="s">
        <v>21</v>
      </c>
      <c r="B37" s="4" t="s">
        <v>33</v>
      </c>
      <c r="C37" s="4" t="s">
        <v>37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36</v>
      </c>
      <c r="I37" s="5">
        <v>44774</v>
      </c>
      <c r="J37" s="6">
        <v>0</v>
      </c>
      <c r="K37" s="6">
        <v>0</v>
      </c>
      <c r="L37" s="6">
        <v>851.34699999999998</v>
      </c>
      <c r="M37" s="6">
        <v>851.34699999999998</v>
      </c>
      <c r="N37" s="6">
        <v>851.34699999999998</v>
      </c>
      <c r="O37" s="6">
        <v>851.34699999999998</v>
      </c>
      <c r="P37" s="6">
        <v>0</v>
      </c>
      <c r="Q37" s="4" t="s">
        <v>26</v>
      </c>
      <c r="R37" s="4">
        <v>0</v>
      </c>
      <c r="S37" s="6">
        <v>0</v>
      </c>
      <c r="T37" s="6">
        <v>21</v>
      </c>
      <c r="U37" s="6">
        <v>30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58.05</v>
      </c>
      <c r="X37" s="6">
        <f>IF(ISERROR(VLOOKUP($U$37,'TAR FIN'!$A$1:$O$85,15,0)),0,VLOOKUP($U$37,'TAR FIN'!$A$1:$O$85,15,0))</f>
        <v>241.37</v>
      </c>
      <c r="Y37" s="6"/>
      <c r="Z37" s="6">
        <f ca="1">('TUSD BE'!$AM$12+'TUSD BF'!$AM$12+'TUSD CVA'!$AM$12)*1</f>
        <v>93.32617220991402</v>
      </c>
      <c r="AA37" s="6">
        <f>('TE BE'!$AB$6+'TE BF'!$AB$6+'TE CVA'!$AB$6)*1</f>
        <v>239.91115615602757</v>
      </c>
      <c r="AB37" s="6">
        <f>$K$37*$V$37</f>
        <v>0</v>
      </c>
      <c r="AC37" s="6">
        <f>$M$37*$W$37</f>
        <v>49420.693349999994</v>
      </c>
      <c r="AD37" s="6">
        <f>$O$37*$X$37</f>
        <v>205489.62539</v>
      </c>
      <c r="AE37" s="6">
        <f>$K$37*$Y$37</f>
        <v>0</v>
      </c>
      <c r="AF37" s="6">
        <f ca="1">$M$37*$Z$37</f>
        <v>79452.956732393664</v>
      </c>
      <c r="AG37" s="6">
        <f>$O$37*$AA$37</f>
        <v>204247.6430599656</v>
      </c>
    </row>
    <row r="38" spans="1:33" ht="11.25" customHeight="1" x14ac:dyDescent="0.25">
      <c r="A38" s="4" t="s">
        <v>21</v>
      </c>
      <c r="B38" s="4" t="s">
        <v>33</v>
      </c>
      <c r="C38" s="4" t="s">
        <v>37</v>
      </c>
      <c r="D38" s="4" t="s">
        <v>32</v>
      </c>
      <c r="E38" s="4" t="s">
        <v>25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3766</v>
      </c>
      <c r="K38" s="6">
        <v>3766</v>
      </c>
      <c r="L38" s="6">
        <v>0</v>
      </c>
      <c r="M38" s="6">
        <v>0</v>
      </c>
      <c r="N38" s="6">
        <v>0</v>
      </c>
      <c r="O38" s="6">
        <v>0</v>
      </c>
      <c r="P38" s="6">
        <v>12</v>
      </c>
      <c r="Q38" s="4" t="s">
        <v>26</v>
      </c>
      <c r="R38" s="4">
        <v>0</v>
      </c>
      <c r="S38" s="6">
        <v>14</v>
      </c>
      <c r="T38" s="6">
        <v>0</v>
      </c>
      <c r="U38" s="6">
        <v>0</v>
      </c>
      <c r="V38" s="6">
        <f>IF(ISERROR(VLOOKUP($S$38,'TAR FIN'!$A$1:$O$85,15,0)),0,VLOOKUP($S$38,'TAR FIN'!$A$1:$O$85,15,0))</f>
        <v>13.01</v>
      </c>
      <c r="W38" s="6">
        <f>IF(ISERROR(VLOOKUP($T$38,'TAR FIN'!$A$1:$O$85,15,0)),0,VLOOKUP($T$38,'TAR FIN'!$A$1:$O$85,15,0))</f>
        <v>0</v>
      </c>
      <c r="X38" s="6">
        <f>IF(ISERROR(VLOOKUP($U$38,'TAR FIN'!$A$1:$O$85,15,0)),0,VLOOKUP($U$38,'TAR FIN'!$A$1:$O$85,15,0))</f>
        <v>0</v>
      </c>
      <c r="Y38" s="6">
        <f ca="1">('TUSD BE'!$AM$10+'TUSD BF'!$AM$10+'TUSD CVA'!$AM$10)*1</f>
        <v>14.787548847709356</v>
      </c>
      <c r="Z38" s="6"/>
      <c r="AA38" s="6"/>
      <c r="AB38" s="6">
        <f>$K$38*$V$38</f>
        <v>48995.659999999996</v>
      </c>
      <c r="AC38" s="6">
        <f>$M$38*$W$38</f>
        <v>0</v>
      </c>
      <c r="AD38" s="6">
        <f>$O$38*$X$38</f>
        <v>0</v>
      </c>
      <c r="AE38" s="6">
        <f ca="1">$K$38*$Y$38</f>
        <v>55689.908960473433</v>
      </c>
      <c r="AF38" s="6">
        <f>$M$38*$Z$38</f>
        <v>0</v>
      </c>
      <c r="AG38" s="6">
        <f>$O$38*$AA$38</f>
        <v>0</v>
      </c>
    </row>
    <row r="39" spans="1:33" ht="11.25" customHeight="1" x14ac:dyDescent="0.25">
      <c r="A39" s="4" t="s">
        <v>21</v>
      </c>
      <c r="B39" s="4" t="s">
        <v>33</v>
      </c>
      <c r="C39" s="4" t="s">
        <v>37</v>
      </c>
      <c r="D39" s="4" t="s">
        <v>32</v>
      </c>
      <c r="E39" s="4" t="s">
        <v>25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3770</v>
      </c>
      <c r="K39" s="6">
        <v>3770</v>
      </c>
      <c r="L39" s="6">
        <v>0</v>
      </c>
      <c r="M39" s="6">
        <v>0</v>
      </c>
      <c r="N39" s="6">
        <v>0</v>
      </c>
      <c r="O39" s="6">
        <v>0</v>
      </c>
      <c r="P39" s="6">
        <v>12</v>
      </c>
      <c r="Q39" s="4" t="s">
        <v>26</v>
      </c>
      <c r="R39" s="4">
        <v>0</v>
      </c>
      <c r="S39" s="6">
        <v>14</v>
      </c>
      <c r="T39" s="6">
        <v>0</v>
      </c>
      <c r="U39" s="6">
        <v>0</v>
      </c>
      <c r="V39" s="6">
        <f>IF(ISERROR(VLOOKUP($S$39,'TAR FIN'!$A$1:$O$85,15,0)),0,VLOOKUP($S$39,'TAR FIN'!$A$1:$O$85,15,0))</f>
        <v>13.01</v>
      </c>
      <c r="W39" s="6">
        <f>IF(ISERROR(VLOOKUP($T$39,'TAR FIN'!$A$1:$O$85,15,0)),0,VLOOKUP($T$39,'TAR FIN'!$A$1:$O$85,15,0))</f>
        <v>0</v>
      </c>
      <c r="X39" s="6">
        <f>IF(ISERROR(VLOOKUP($U$39,'TAR FIN'!$A$1:$O$85,15,0)),0,VLOOKUP($U$39,'TAR FIN'!$A$1:$O$85,15,0))</f>
        <v>0</v>
      </c>
      <c r="Y39" s="6">
        <f ca="1">('TUSD BE'!$AM$10+'TUSD BF'!$AM$10+'TUSD CVA'!$AM$10)*1</f>
        <v>14.787548847709356</v>
      </c>
      <c r="Z39" s="6"/>
      <c r="AA39" s="6"/>
      <c r="AB39" s="6">
        <f>$K$39*$V$39</f>
        <v>49047.7</v>
      </c>
      <c r="AC39" s="6">
        <f>$M$39*$W$39</f>
        <v>0</v>
      </c>
      <c r="AD39" s="6">
        <f>$O$39*$X$39</f>
        <v>0</v>
      </c>
      <c r="AE39" s="6">
        <f ca="1">$K$39*$Y$39</f>
        <v>55749.05915586427</v>
      </c>
      <c r="AF39" s="6">
        <f>$M$39*$Z$39</f>
        <v>0</v>
      </c>
      <c r="AG39" s="6">
        <f>$O$39*$AA$39</f>
        <v>0</v>
      </c>
    </row>
    <row r="40" spans="1:33" ht="11.25" customHeight="1" x14ac:dyDescent="0.25">
      <c r="A40" s="4" t="s">
        <v>21</v>
      </c>
      <c r="B40" s="4" t="s">
        <v>33</v>
      </c>
      <c r="C40" s="4" t="s">
        <v>37</v>
      </c>
      <c r="D40" s="4" t="s">
        <v>32</v>
      </c>
      <c r="E40" s="4" t="s">
        <v>25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3791</v>
      </c>
      <c r="K40" s="6">
        <v>3791</v>
      </c>
      <c r="L40" s="6">
        <v>0</v>
      </c>
      <c r="M40" s="6">
        <v>0</v>
      </c>
      <c r="N40" s="6">
        <v>0</v>
      </c>
      <c r="O40" s="6">
        <v>0</v>
      </c>
      <c r="P40" s="6">
        <v>12</v>
      </c>
      <c r="Q40" s="4" t="s">
        <v>26</v>
      </c>
      <c r="R40" s="4">
        <v>0</v>
      </c>
      <c r="S40" s="6">
        <v>14</v>
      </c>
      <c r="T40" s="6">
        <v>0</v>
      </c>
      <c r="U40" s="6">
        <v>0</v>
      </c>
      <c r="V40" s="6">
        <f>IF(ISERROR(VLOOKUP($S$40,'TAR FIN'!$A$1:$O$85,15,0)),0,VLOOKUP($S$40,'TAR FIN'!$A$1:$O$85,15,0))</f>
        <v>13.01</v>
      </c>
      <c r="W40" s="6">
        <f>IF(ISERROR(VLOOKUP($T$40,'TAR FIN'!$A$1:$O$85,15,0)),0,VLOOKUP($T$40,'TAR FIN'!$A$1:$O$85,15,0))</f>
        <v>0</v>
      </c>
      <c r="X40" s="6">
        <f>IF(ISERROR(VLOOKUP($U$40,'TAR FIN'!$A$1:$O$85,15,0)),0,VLOOKUP($U$40,'TAR FIN'!$A$1:$O$85,15,0))</f>
        <v>0</v>
      </c>
      <c r="Y40" s="6">
        <f ca="1">('TUSD BE'!$AM$10+'TUSD BF'!$AM$10+'TUSD CVA'!$AM$10)*1</f>
        <v>14.787548847709356</v>
      </c>
      <c r="Z40" s="6"/>
      <c r="AA40" s="6"/>
      <c r="AB40" s="6">
        <f>$K$40*$V$40</f>
        <v>49320.909999999996</v>
      </c>
      <c r="AC40" s="6">
        <f>$M$40*$W$40</f>
        <v>0</v>
      </c>
      <c r="AD40" s="6">
        <f>$O$40*$X$40</f>
        <v>0</v>
      </c>
      <c r="AE40" s="6">
        <f ca="1">$K$40*$Y$40</f>
        <v>56059.597681666171</v>
      </c>
      <c r="AF40" s="6">
        <f>$M$40*$Z$40</f>
        <v>0</v>
      </c>
      <c r="AG40" s="6">
        <f>$O$40*$AA$40</f>
        <v>0</v>
      </c>
    </row>
    <row r="41" spans="1:33" ht="11.25" customHeight="1" x14ac:dyDescent="0.25">
      <c r="A41" s="4" t="s">
        <v>21</v>
      </c>
      <c r="B41" s="4" t="s">
        <v>33</v>
      </c>
      <c r="C41" s="4" t="s">
        <v>37</v>
      </c>
      <c r="D41" s="4" t="s">
        <v>32</v>
      </c>
      <c r="E41" s="4" t="s">
        <v>25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3776</v>
      </c>
      <c r="K41" s="6">
        <v>3776</v>
      </c>
      <c r="L41" s="6">
        <v>0</v>
      </c>
      <c r="M41" s="6">
        <v>0</v>
      </c>
      <c r="N41" s="6">
        <v>0</v>
      </c>
      <c r="O41" s="6">
        <v>0</v>
      </c>
      <c r="P41" s="6">
        <v>12</v>
      </c>
      <c r="Q41" s="4" t="s">
        <v>26</v>
      </c>
      <c r="R41" s="4">
        <v>0</v>
      </c>
      <c r="S41" s="6">
        <v>14</v>
      </c>
      <c r="T41" s="6">
        <v>0</v>
      </c>
      <c r="U41" s="6">
        <v>0</v>
      </c>
      <c r="V41" s="6">
        <f>IF(ISERROR(VLOOKUP($S$41,'TAR FIN'!$A$1:$O$85,15,0)),0,VLOOKUP($S$41,'TAR FIN'!$A$1:$O$85,15,0))</f>
        <v>13.01</v>
      </c>
      <c r="W41" s="6">
        <f>IF(ISERROR(VLOOKUP($T$41,'TAR FIN'!$A$1:$O$85,15,0)),0,VLOOKUP($T$41,'TAR FIN'!$A$1:$O$85,15,0))</f>
        <v>0</v>
      </c>
      <c r="X41" s="6">
        <f>IF(ISERROR(VLOOKUP($U$41,'TAR FIN'!$A$1:$O$85,15,0)),0,VLOOKUP($U$41,'TAR FIN'!$A$1:$O$85,15,0))</f>
        <v>0</v>
      </c>
      <c r="Y41" s="6">
        <f ca="1">('TUSD BE'!$AM$10+'TUSD BF'!$AM$10+'TUSD CVA'!$AM$10)*1</f>
        <v>14.787548847709356</v>
      </c>
      <c r="Z41" s="6"/>
      <c r="AA41" s="6"/>
      <c r="AB41" s="6">
        <f>$K$41*$V$41</f>
        <v>49125.760000000002</v>
      </c>
      <c r="AC41" s="6">
        <f>$M$41*$W$41</f>
        <v>0</v>
      </c>
      <c r="AD41" s="6">
        <f>$O$41*$X$41</f>
        <v>0</v>
      </c>
      <c r="AE41" s="6">
        <f ca="1">$K$41*$Y$41</f>
        <v>55837.78444895053</v>
      </c>
      <c r="AF41" s="6">
        <f>$M$41*$Z$41</f>
        <v>0</v>
      </c>
      <c r="AG41" s="6">
        <f>$O$41*$AA$41</f>
        <v>0</v>
      </c>
    </row>
    <row r="42" spans="1:33" ht="11.25" customHeight="1" x14ac:dyDescent="0.25">
      <c r="A42" s="4" t="s">
        <v>21</v>
      </c>
      <c r="B42" s="4" t="s">
        <v>33</v>
      </c>
      <c r="C42" s="4" t="s">
        <v>37</v>
      </c>
      <c r="D42" s="4" t="s">
        <v>32</v>
      </c>
      <c r="E42" s="4" t="s">
        <v>25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3775</v>
      </c>
      <c r="K42" s="6">
        <v>3775</v>
      </c>
      <c r="L42" s="6">
        <v>0</v>
      </c>
      <c r="M42" s="6">
        <v>0</v>
      </c>
      <c r="N42" s="6">
        <v>0</v>
      </c>
      <c r="O42" s="6">
        <v>0</v>
      </c>
      <c r="P42" s="6">
        <v>12</v>
      </c>
      <c r="Q42" s="4" t="s">
        <v>26</v>
      </c>
      <c r="R42" s="4">
        <v>0</v>
      </c>
      <c r="S42" s="6">
        <v>14</v>
      </c>
      <c r="T42" s="6">
        <v>0</v>
      </c>
      <c r="U42" s="6">
        <v>0</v>
      </c>
      <c r="V42" s="6">
        <f>IF(ISERROR(VLOOKUP($S$42,'TAR FIN'!$A$1:$O$85,15,0)),0,VLOOKUP($S$42,'TAR FIN'!$A$1:$O$85,15,0))</f>
        <v>13.01</v>
      </c>
      <c r="W42" s="6">
        <f>IF(ISERROR(VLOOKUP($T$42,'TAR FIN'!$A$1:$O$85,15,0)),0,VLOOKUP($T$42,'TAR FIN'!$A$1:$O$85,15,0))</f>
        <v>0</v>
      </c>
      <c r="X42" s="6">
        <f>IF(ISERROR(VLOOKUP($U$42,'TAR FIN'!$A$1:$O$85,15,0)),0,VLOOKUP($U$42,'TAR FIN'!$A$1:$O$85,15,0))</f>
        <v>0</v>
      </c>
      <c r="Y42" s="6">
        <f ca="1">('TUSD BE'!$AM$10+'TUSD BF'!$AM$10+'TUSD CVA'!$AM$10)*1</f>
        <v>14.787548847709356</v>
      </c>
      <c r="Z42" s="6"/>
      <c r="AA42" s="6"/>
      <c r="AB42" s="6">
        <f>$K$42*$V$42</f>
        <v>49112.75</v>
      </c>
      <c r="AC42" s="6">
        <f>$M$42*$W$42</f>
        <v>0</v>
      </c>
      <c r="AD42" s="6">
        <f>$O$42*$X$42</f>
        <v>0</v>
      </c>
      <c r="AE42" s="6">
        <f ca="1">$K$42*$Y$42</f>
        <v>55822.996900102822</v>
      </c>
      <c r="AF42" s="6">
        <f>$M$42*$Z$42</f>
        <v>0</v>
      </c>
      <c r="AG42" s="6">
        <f>$O$42*$AA$42</f>
        <v>0</v>
      </c>
    </row>
    <row r="43" spans="1:33" ht="11.25" customHeight="1" x14ac:dyDescent="0.25">
      <c r="A43" s="4" t="s">
        <v>21</v>
      </c>
      <c r="B43" s="4" t="s">
        <v>33</v>
      </c>
      <c r="C43" s="4" t="s">
        <v>37</v>
      </c>
      <c r="D43" s="4" t="s">
        <v>32</v>
      </c>
      <c r="E43" s="4" t="s">
        <v>25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3778</v>
      </c>
      <c r="K43" s="6">
        <v>3778</v>
      </c>
      <c r="L43" s="6">
        <v>0</v>
      </c>
      <c r="M43" s="6">
        <v>0</v>
      </c>
      <c r="N43" s="6">
        <v>0</v>
      </c>
      <c r="O43" s="6">
        <v>0</v>
      </c>
      <c r="P43" s="6">
        <v>12</v>
      </c>
      <c r="Q43" s="4" t="s">
        <v>26</v>
      </c>
      <c r="R43" s="4">
        <v>0</v>
      </c>
      <c r="S43" s="6">
        <v>14</v>
      </c>
      <c r="T43" s="6">
        <v>0</v>
      </c>
      <c r="U43" s="6">
        <v>0</v>
      </c>
      <c r="V43" s="6">
        <f>IF(ISERROR(VLOOKUP($S$43,'TAR FIN'!$A$1:$O$85,15,0)),0,VLOOKUP($S$43,'TAR FIN'!$A$1:$O$85,15,0))</f>
        <v>13.01</v>
      </c>
      <c r="W43" s="6">
        <f>IF(ISERROR(VLOOKUP($T$43,'TAR FIN'!$A$1:$O$85,15,0)),0,VLOOKUP($T$43,'TAR FIN'!$A$1:$O$85,15,0))</f>
        <v>0</v>
      </c>
      <c r="X43" s="6">
        <f>IF(ISERROR(VLOOKUP($U$43,'TAR FIN'!$A$1:$O$85,15,0)),0,VLOOKUP($U$43,'TAR FIN'!$A$1:$O$85,15,0))</f>
        <v>0</v>
      </c>
      <c r="Y43" s="6">
        <f ca="1">('TUSD BE'!$AM$10+'TUSD BF'!$AM$10+'TUSD CVA'!$AM$10)*1</f>
        <v>14.787548847709356</v>
      </c>
      <c r="Z43" s="6"/>
      <c r="AA43" s="6"/>
      <c r="AB43" s="6">
        <f>$K$43*$V$43</f>
        <v>49151.78</v>
      </c>
      <c r="AC43" s="6">
        <f>$M$43*$W$43</f>
        <v>0</v>
      </c>
      <c r="AD43" s="6">
        <f>$O$43*$X$43</f>
        <v>0</v>
      </c>
      <c r="AE43" s="6">
        <f ca="1">$K$43*$Y$43</f>
        <v>55867.359546645945</v>
      </c>
      <c r="AF43" s="6">
        <f>$M$43*$Z$43</f>
        <v>0</v>
      </c>
      <c r="AG43" s="6">
        <f>$O$43*$AA$43</f>
        <v>0</v>
      </c>
    </row>
    <row r="44" spans="1:33" ht="11.25" customHeight="1" x14ac:dyDescent="0.25">
      <c r="A44" s="4" t="s">
        <v>21</v>
      </c>
      <c r="B44" s="4" t="s">
        <v>33</v>
      </c>
      <c r="C44" s="4" t="s">
        <v>37</v>
      </c>
      <c r="D44" s="4" t="s">
        <v>32</v>
      </c>
      <c r="E44" s="4" t="s">
        <v>25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3776</v>
      </c>
      <c r="K44" s="6">
        <v>3776</v>
      </c>
      <c r="L44" s="6">
        <v>0</v>
      </c>
      <c r="M44" s="6">
        <v>0</v>
      </c>
      <c r="N44" s="6">
        <v>0</v>
      </c>
      <c r="O44" s="6">
        <v>0</v>
      </c>
      <c r="P44" s="6">
        <v>12</v>
      </c>
      <c r="Q44" s="4" t="s">
        <v>26</v>
      </c>
      <c r="R44" s="4">
        <v>0</v>
      </c>
      <c r="S44" s="6">
        <v>14</v>
      </c>
      <c r="T44" s="6">
        <v>0</v>
      </c>
      <c r="U44" s="6">
        <v>0</v>
      </c>
      <c r="V44" s="6">
        <f>IF(ISERROR(VLOOKUP($S$44,'TAR FIN'!$A$1:$O$85,15,0)),0,VLOOKUP($S$44,'TAR FIN'!$A$1:$O$85,15,0))</f>
        <v>13.01</v>
      </c>
      <c r="W44" s="6">
        <f>IF(ISERROR(VLOOKUP($T$44,'TAR FIN'!$A$1:$O$85,15,0)),0,VLOOKUP($T$44,'TAR FIN'!$A$1:$O$85,15,0))</f>
        <v>0</v>
      </c>
      <c r="X44" s="6">
        <f>IF(ISERROR(VLOOKUP($U$44,'TAR FIN'!$A$1:$O$85,15,0)),0,VLOOKUP($U$44,'TAR FIN'!$A$1:$O$85,15,0))</f>
        <v>0</v>
      </c>
      <c r="Y44" s="6">
        <f ca="1">('TUSD BE'!$AM$10+'TUSD BF'!$AM$10+'TUSD CVA'!$AM$10)*1</f>
        <v>14.787548847709356</v>
      </c>
      <c r="Z44" s="6"/>
      <c r="AA44" s="6"/>
      <c r="AB44" s="6">
        <f>$K$44*$V$44</f>
        <v>49125.760000000002</v>
      </c>
      <c r="AC44" s="6">
        <f>$M$44*$W$44</f>
        <v>0</v>
      </c>
      <c r="AD44" s="6">
        <f>$O$44*$X$44</f>
        <v>0</v>
      </c>
      <c r="AE44" s="6">
        <f ca="1">$K$44*$Y$44</f>
        <v>55837.78444895053</v>
      </c>
      <c r="AF44" s="6">
        <f>$M$44*$Z$44</f>
        <v>0</v>
      </c>
      <c r="AG44" s="6">
        <f>$O$44*$AA$44</f>
        <v>0</v>
      </c>
    </row>
    <row r="45" spans="1:33" ht="11.25" customHeight="1" x14ac:dyDescent="0.25">
      <c r="A45" s="4" t="s">
        <v>21</v>
      </c>
      <c r="B45" s="4" t="s">
        <v>33</v>
      </c>
      <c r="C45" s="4" t="s">
        <v>37</v>
      </c>
      <c r="D45" s="4" t="s">
        <v>32</v>
      </c>
      <c r="E45" s="4" t="s">
        <v>25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3788</v>
      </c>
      <c r="K45" s="6">
        <v>3788</v>
      </c>
      <c r="L45" s="6">
        <v>0</v>
      </c>
      <c r="M45" s="6">
        <v>0</v>
      </c>
      <c r="N45" s="6">
        <v>0</v>
      </c>
      <c r="O45" s="6">
        <v>0</v>
      </c>
      <c r="P45" s="6">
        <v>12</v>
      </c>
      <c r="Q45" s="4" t="s">
        <v>26</v>
      </c>
      <c r="R45" s="4">
        <v>0</v>
      </c>
      <c r="S45" s="6">
        <v>14</v>
      </c>
      <c r="T45" s="6">
        <v>0</v>
      </c>
      <c r="U45" s="6">
        <v>0</v>
      </c>
      <c r="V45" s="6">
        <f>IF(ISERROR(VLOOKUP($S$45,'TAR FIN'!$A$1:$O$85,15,0)),0,VLOOKUP($S$45,'TAR FIN'!$A$1:$O$85,15,0))</f>
        <v>13.01</v>
      </c>
      <c r="W45" s="6">
        <f>IF(ISERROR(VLOOKUP($T$45,'TAR FIN'!$A$1:$O$85,15,0)),0,VLOOKUP($T$45,'TAR FIN'!$A$1:$O$85,15,0))</f>
        <v>0</v>
      </c>
      <c r="X45" s="6">
        <f>IF(ISERROR(VLOOKUP($U$45,'TAR FIN'!$A$1:$O$85,15,0)),0,VLOOKUP($U$45,'TAR FIN'!$A$1:$O$85,15,0))</f>
        <v>0</v>
      </c>
      <c r="Y45" s="6">
        <f ca="1">('TUSD BE'!$AM$10+'TUSD BF'!$AM$10+'TUSD CVA'!$AM$10)*1</f>
        <v>14.787548847709356</v>
      </c>
      <c r="Z45" s="6"/>
      <c r="AA45" s="6"/>
      <c r="AB45" s="6">
        <f>$K$45*$V$45</f>
        <v>49281.88</v>
      </c>
      <c r="AC45" s="6">
        <f>$M$45*$W$45</f>
        <v>0</v>
      </c>
      <c r="AD45" s="6">
        <f>$O$45*$X$45</f>
        <v>0</v>
      </c>
      <c r="AE45" s="6">
        <f ca="1">$K$45*$Y$45</f>
        <v>56015.235035123042</v>
      </c>
      <c r="AF45" s="6">
        <f>$M$45*$Z$45</f>
        <v>0</v>
      </c>
      <c r="AG45" s="6">
        <f>$O$45*$AA$45</f>
        <v>0</v>
      </c>
    </row>
    <row r="46" spans="1:33" ht="11.25" customHeight="1" x14ac:dyDescent="0.25">
      <c r="A46" s="4" t="s">
        <v>21</v>
      </c>
      <c r="B46" s="4" t="s">
        <v>33</v>
      </c>
      <c r="C46" s="4" t="s">
        <v>37</v>
      </c>
      <c r="D46" s="4" t="s">
        <v>32</v>
      </c>
      <c r="E46" s="4" t="s">
        <v>25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3810</v>
      </c>
      <c r="K46" s="6">
        <v>3810</v>
      </c>
      <c r="L46" s="6">
        <v>0</v>
      </c>
      <c r="M46" s="6">
        <v>0</v>
      </c>
      <c r="N46" s="6">
        <v>0</v>
      </c>
      <c r="O46" s="6">
        <v>0</v>
      </c>
      <c r="P46" s="6">
        <v>12</v>
      </c>
      <c r="Q46" s="4" t="s">
        <v>26</v>
      </c>
      <c r="R46" s="4">
        <v>0</v>
      </c>
      <c r="S46" s="6">
        <v>14</v>
      </c>
      <c r="T46" s="6">
        <v>0</v>
      </c>
      <c r="U46" s="6">
        <v>0</v>
      </c>
      <c r="V46" s="6">
        <f>IF(ISERROR(VLOOKUP($S$46,'TAR FIN'!$A$1:$O$85,15,0)),0,VLOOKUP($S$46,'TAR FIN'!$A$1:$O$85,15,0))</f>
        <v>13.01</v>
      </c>
      <c r="W46" s="6">
        <f>IF(ISERROR(VLOOKUP($T$46,'TAR FIN'!$A$1:$O$85,15,0)),0,VLOOKUP($T$46,'TAR FIN'!$A$1:$O$85,15,0))</f>
        <v>0</v>
      </c>
      <c r="X46" s="6">
        <f>IF(ISERROR(VLOOKUP($U$46,'TAR FIN'!$A$1:$O$85,15,0)),0,VLOOKUP($U$46,'TAR FIN'!$A$1:$O$85,15,0))</f>
        <v>0</v>
      </c>
      <c r="Y46" s="6">
        <f ca="1">('TUSD BE'!$AM$10+'TUSD BF'!$AM$10+'TUSD CVA'!$AM$10)*1</f>
        <v>14.787548847709356</v>
      </c>
      <c r="Z46" s="6"/>
      <c r="AA46" s="6"/>
      <c r="AB46" s="6">
        <f>$K$46*$V$46</f>
        <v>49568.1</v>
      </c>
      <c r="AC46" s="6">
        <f>$M$46*$W$46</f>
        <v>0</v>
      </c>
      <c r="AD46" s="6">
        <f>$O$46*$X$46</f>
        <v>0</v>
      </c>
      <c r="AE46" s="6">
        <f ca="1">$K$46*$Y$46</f>
        <v>56340.561109772651</v>
      </c>
      <c r="AF46" s="6">
        <f>$M$46*$Z$46</f>
        <v>0</v>
      </c>
      <c r="AG46" s="6">
        <f>$O$46*$AA$46</f>
        <v>0</v>
      </c>
    </row>
    <row r="47" spans="1:33" ht="11.25" customHeight="1" x14ac:dyDescent="0.25">
      <c r="A47" s="4" t="s">
        <v>21</v>
      </c>
      <c r="B47" s="4" t="s">
        <v>33</v>
      </c>
      <c r="C47" s="4" t="s">
        <v>37</v>
      </c>
      <c r="D47" s="4" t="s">
        <v>32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3814</v>
      </c>
      <c r="K47" s="6">
        <v>3814</v>
      </c>
      <c r="L47" s="6">
        <v>0</v>
      </c>
      <c r="M47" s="6">
        <v>0</v>
      </c>
      <c r="N47" s="6">
        <v>0</v>
      </c>
      <c r="O47" s="6">
        <v>0</v>
      </c>
      <c r="P47" s="6">
        <v>12</v>
      </c>
      <c r="Q47" s="4" t="s">
        <v>26</v>
      </c>
      <c r="R47" s="4">
        <v>0</v>
      </c>
      <c r="S47" s="6">
        <v>14</v>
      </c>
      <c r="T47" s="6">
        <v>0</v>
      </c>
      <c r="U47" s="6">
        <v>0</v>
      </c>
      <c r="V47" s="6">
        <f>IF(ISERROR(VLOOKUP($S$47,'TAR FIN'!$A$1:$O$85,15,0)),0,VLOOKUP($S$47,'TAR FIN'!$A$1:$O$85,15,0))</f>
        <v>13.01</v>
      </c>
      <c r="W47" s="6">
        <f>IF(ISERROR(VLOOKUP($T$47,'TAR FIN'!$A$1:$O$85,15,0)),0,VLOOKUP($T$47,'TAR FIN'!$A$1:$O$85,15,0))</f>
        <v>0</v>
      </c>
      <c r="X47" s="6">
        <f>IF(ISERROR(VLOOKUP($U$47,'TAR FIN'!$A$1:$O$85,15,0)),0,VLOOKUP($U$47,'TAR FIN'!$A$1:$O$85,15,0))</f>
        <v>0</v>
      </c>
      <c r="Y47" s="6">
        <f ca="1">('TUSD BE'!$AM$10+'TUSD BF'!$AM$10+'TUSD CVA'!$AM$10)*1</f>
        <v>14.787548847709356</v>
      </c>
      <c r="Z47" s="6"/>
      <c r="AA47" s="6"/>
      <c r="AB47" s="6">
        <f>$K$47*$V$47</f>
        <v>49620.14</v>
      </c>
      <c r="AC47" s="6">
        <f>$M$47*$W$47</f>
        <v>0</v>
      </c>
      <c r="AD47" s="6">
        <f>$O$47*$X$47</f>
        <v>0</v>
      </c>
      <c r="AE47" s="6">
        <f ca="1">$K$47*$Y$47</f>
        <v>56399.711305163488</v>
      </c>
      <c r="AF47" s="6">
        <f>$M$47*$Z$47</f>
        <v>0</v>
      </c>
      <c r="AG47" s="6">
        <f>$O$47*$AA$47</f>
        <v>0</v>
      </c>
    </row>
    <row r="48" spans="1:33" ht="11.25" customHeight="1" x14ac:dyDescent="0.25">
      <c r="A48" s="4" t="s">
        <v>21</v>
      </c>
      <c r="B48" s="4" t="s">
        <v>33</v>
      </c>
      <c r="C48" s="4" t="s">
        <v>37</v>
      </c>
      <c r="D48" s="4" t="s">
        <v>32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3470</v>
      </c>
      <c r="K48" s="6">
        <v>3470</v>
      </c>
      <c r="L48" s="6">
        <v>0</v>
      </c>
      <c r="M48" s="6">
        <v>0</v>
      </c>
      <c r="N48" s="6">
        <v>0</v>
      </c>
      <c r="O48" s="6">
        <v>0</v>
      </c>
      <c r="P48" s="6">
        <v>12</v>
      </c>
      <c r="Q48" s="4" t="s">
        <v>26</v>
      </c>
      <c r="R48" s="4">
        <v>0</v>
      </c>
      <c r="S48" s="6">
        <v>14</v>
      </c>
      <c r="T48" s="6">
        <v>0</v>
      </c>
      <c r="U48" s="6">
        <v>0</v>
      </c>
      <c r="V48" s="6">
        <f>IF(ISERROR(VLOOKUP($S$48,'TAR FIN'!$A$1:$O$85,15,0)),0,VLOOKUP($S$48,'TAR FIN'!$A$1:$O$85,15,0))</f>
        <v>13.01</v>
      </c>
      <c r="W48" s="6">
        <f>IF(ISERROR(VLOOKUP($T$48,'TAR FIN'!$A$1:$O$85,15,0)),0,VLOOKUP($T$48,'TAR FIN'!$A$1:$O$85,15,0))</f>
        <v>0</v>
      </c>
      <c r="X48" s="6">
        <f>IF(ISERROR(VLOOKUP($U$48,'TAR FIN'!$A$1:$O$85,15,0)),0,VLOOKUP($U$48,'TAR FIN'!$A$1:$O$85,15,0))</f>
        <v>0</v>
      </c>
      <c r="Y48" s="6">
        <f ca="1">('TUSD BE'!$AM$10+'TUSD BF'!$AM$10+'TUSD CVA'!$AM$10)*1</f>
        <v>14.787548847709356</v>
      </c>
      <c r="Z48" s="6"/>
      <c r="AA48" s="6"/>
      <c r="AB48" s="6">
        <f>$K$48*$V$48</f>
        <v>45144.7</v>
      </c>
      <c r="AC48" s="6">
        <f>$M$48*$W$48</f>
        <v>0</v>
      </c>
      <c r="AD48" s="6">
        <f>$O$48*$X$48</f>
        <v>0</v>
      </c>
      <c r="AE48" s="6">
        <f ca="1">$K$48*$Y$48</f>
        <v>51312.794501551463</v>
      </c>
      <c r="AF48" s="6">
        <f>$M$48*$Z$48</f>
        <v>0</v>
      </c>
      <c r="AG48" s="6">
        <f>$O$48*$AA$48</f>
        <v>0</v>
      </c>
    </row>
    <row r="49" spans="1:33" ht="11.25" customHeight="1" x14ac:dyDescent="0.25">
      <c r="A49" s="4" t="s">
        <v>21</v>
      </c>
      <c r="B49" s="4" t="s">
        <v>33</v>
      </c>
      <c r="C49" s="4" t="s">
        <v>37</v>
      </c>
      <c r="D49" s="4" t="s">
        <v>32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3473</v>
      </c>
      <c r="K49" s="6">
        <v>3473</v>
      </c>
      <c r="L49" s="6">
        <v>0</v>
      </c>
      <c r="M49" s="6">
        <v>0</v>
      </c>
      <c r="N49" s="6">
        <v>0</v>
      </c>
      <c r="O49" s="6">
        <v>0</v>
      </c>
      <c r="P49" s="6">
        <v>12</v>
      </c>
      <c r="Q49" s="4" t="s">
        <v>26</v>
      </c>
      <c r="R49" s="4">
        <v>0</v>
      </c>
      <c r="S49" s="6">
        <v>14</v>
      </c>
      <c r="T49" s="6">
        <v>0</v>
      </c>
      <c r="U49" s="6">
        <v>0</v>
      </c>
      <c r="V49" s="6">
        <f>IF(ISERROR(VLOOKUP($S$49,'TAR FIN'!$A$1:$O$85,15,0)),0,VLOOKUP($S$49,'TAR FIN'!$A$1:$O$85,15,0))</f>
        <v>13.01</v>
      </c>
      <c r="W49" s="6">
        <f>IF(ISERROR(VLOOKUP($T$49,'TAR FIN'!$A$1:$O$85,15,0)),0,VLOOKUP($T$49,'TAR FIN'!$A$1:$O$85,15,0))</f>
        <v>0</v>
      </c>
      <c r="X49" s="6">
        <f>IF(ISERROR(VLOOKUP($U$49,'TAR FIN'!$A$1:$O$85,15,0)),0,VLOOKUP($U$49,'TAR FIN'!$A$1:$O$85,15,0))</f>
        <v>0</v>
      </c>
      <c r="Y49" s="6">
        <f ca="1">('TUSD BE'!$AM$10+'TUSD BF'!$AM$10+'TUSD CVA'!$AM$10)*1</f>
        <v>14.787548847709356</v>
      </c>
      <c r="Z49" s="6"/>
      <c r="AA49" s="6"/>
      <c r="AB49" s="6">
        <f>$K$49*$V$49</f>
        <v>45183.729999999996</v>
      </c>
      <c r="AC49" s="6">
        <f>$M$49*$W$49</f>
        <v>0</v>
      </c>
      <c r="AD49" s="6">
        <f>$O$49*$X$49</f>
        <v>0</v>
      </c>
      <c r="AE49" s="6">
        <f ca="1">$K$49*$Y$49</f>
        <v>51357.157148094593</v>
      </c>
      <c r="AF49" s="6">
        <f>$M$49*$Z$49</f>
        <v>0</v>
      </c>
      <c r="AG49" s="6">
        <f>$O$49*$AA$49</f>
        <v>0</v>
      </c>
    </row>
    <row r="50" spans="1:33" ht="11.25" customHeight="1" x14ac:dyDescent="0.25">
      <c r="A50" s="4" t="s">
        <v>21</v>
      </c>
      <c r="B50" s="4" t="s">
        <v>33</v>
      </c>
      <c r="C50" s="4" t="s">
        <v>37</v>
      </c>
      <c r="D50" s="4" t="s">
        <v>32</v>
      </c>
      <c r="E50" s="4" t="s">
        <v>25</v>
      </c>
      <c r="F50" s="4" t="s">
        <v>25</v>
      </c>
      <c r="G50" s="4" t="s">
        <v>25</v>
      </c>
      <c r="H50" s="4" t="s">
        <v>35</v>
      </c>
      <c r="I50" s="5">
        <v>44440</v>
      </c>
      <c r="J50" s="6">
        <v>0</v>
      </c>
      <c r="K50" s="6">
        <v>0</v>
      </c>
      <c r="L50" s="6">
        <v>72.278000000000006</v>
      </c>
      <c r="M50" s="6">
        <v>72.278000000000006</v>
      </c>
      <c r="N50" s="6">
        <v>72.278000000000006</v>
      </c>
      <c r="O50" s="6">
        <v>72.278000000000006</v>
      </c>
      <c r="P50" s="6">
        <v>0</v>
      </c>
      <c r="Q50" s="4" t="s">
        <v>26</v>
      </c>
      <c r="R50" s="4">
        <v>0</v>
      </c>
      <c r="S50" s="6">
        <v>0</v>
      </c>
      <c r="T50" s="6">
        <v>28</v>
      </c>
      <c r="U50" s="6">
        <v>45</v>
      </c>
      <c r="V50" s="6">
        <f>IF(ISERROR(VLOOKUP($S$50,'TAR FIN'!$A$1:$O$85,15,0)),0,VLOOKUP($S$50,'TAR FIN'!$A$1:$O$85,15,0))</f>
        <v>0</v>
      </c>
      <c r="W50" s="6">
        <f>IF(ISERROR(VLOOKUP($T$50,'TAR FIN'!$A$1:$O$85,15,0)),0,VLOOKUP($T$50,'TAR FIN'!$A$1:$O$85,15,0))</f>
        <v>1030.1600000000001</v>
      </c>
      <c r="X50" s="6">
        <f>IF(ISERROR(VLOOKUP($U$50,'TAR FIN'!$A$1:$O$85,15,0)),0,VLOOKUP($U$50,'TAR FIN'!$A$1:$O$85,15,0))</f>
        <v>241.37</v>
      </c>
      <c r="Y50" s="6"/>
      <c r="Z50" s="6">
        <f ca="1">('TUSD BE'!$AM$11+'TUSD BF'!$AM$11+'TUSD CVA'!$AM$11)*1</f>
        <v>1077.8992061823467</v>
      </c>
      <c r="AA50" s="6">
        <f>('TE BE'!$AB$5+'TE BF'!$AB$5+'TE CVA'!$AB$5)*1</f>
        <v>239.91115615602757</v>
      </c>
      <c r="AB50" s="6">
        <f>$K$50*$V$50</f>
        <v>0</v>
      </c>
      <c r="AC50" s="6">
        <f>$M$50*$W$50</f>
        <v>74457.904480000012</v>
      </c>
      <c r="AD50" s="6">
        <f>$O$50*$X$50</f>
        <v>17445.740860000002</v>
      </c>
      <c r="AE50" s="6">
        <f>$K$50*$Y$50</f>
        <v>0</v>
      </c>
      <c r="AF50" s="6">
        <f ca="1">$M$50*$Z$50</f>
        <v>77908.398824447664</v>
      </c>
      <c r="AG50" s="6">
        <f>$O$50*$AA$50</f>
        <v>17340.298544645364</v>
      </c>
    </row>
    <row r="51" spans="1:33" ht="11.25" customHeight="1" x14ac:dyDescent="0.25">
      <c r="A51" s="4" t="s">
        <v>21</v>
      </c>
      <c r="B51" s="4" t="s">
        <v>33</v>
      </c>
      <c r="C51" s="4" t="s">
        <v>37</v>
      </c>
      <c r="D51" s="4" t="s">
        <v>32</v>
      </c>
      <c r="E51" s="4" t="s">
        <v>25</v>
      </c>
      <c r="F51" s="4" t="s">
        <v>25</v>
      </c>
      <c r="G51" s="4" t="s">
        <v>25</v>
      </c>
      <c r="H51" s="4" t="s">
        <v>35</v>
      </c>
      <c r="I51" s="5">
        <v>44470</v>
      </c>
      <c r="J51" s="6">
        <v>0</v>
      </c>
      <c r="K51" s="6">
        <v>0</v>
      </c>
      <c r="L51" s="6">
        <v>74.361000000000004</v>
      </c>
      <c r="M51" s="6">
        <v>74.361000000000004</v>
      </c>
      <c r="N51" s="6">
        <v>74.361000000000004</v>
      </c>
      <c r="O51" s="6">
        <v>74.361000000000004</v>
      </c>
      <c r="P51" s="6">
        <v>0</v>
      </c>
      <c r="Q51" s="4" t="s">
        <v>26</v>
      </c>
      <c r="R51" s="4">
        <v>0</v>
      </c>
      <c r="S51" s="6">
        <v>0</v>
      </c>
      <c r="T51" s="6">
        <v>28</v>
      </c>
      <c r="U51" s="6">
        <v>45</v>
      </c>
      <c r="V51" s="6">
        <f>IF(ISERROR(VLOOKUP($S$51,'TAR FIN'!$A$1:$O$85,15,0)),0,VLOOKUP($S$51,'TAR FIN'!$A$1:$O$85,15,0))</f>
        <v>0</v>
      </c>
      <c r="W51" s="6">
        <f>IF(ISERROR(VLOOKUP($T$51,'TAR FIN'!$A$1:$O$85,15,0)),0,VLOOKUP($T$51,'TAR FIN'!$A$1:$O$85,15,0))</f>
        <v>1030.1600000000001</v>
      </c>
      <c r="X51" s="6">
        <f>IF(ISERROR(VLOOKUP($U$51,'TAR FIN'!$A$1:$O$85,15,0)),0,VLOOKUP($U$51,'TAR FIN'!$A$1:$O$85,15,0))</f>
        <v>241.37</v>
      </c>
      <c r="Y51" s="6"/>
      <c r="Z51" s="6">
        <f ca="1">('TUSD BE'!$AM$11+'TUSD BF'!$AM$11+'TUSD CVA'!$AM$11)*1</f>
        <v>1077.8992061823467</v>
      </c>
      <c r="AA51" s="6">
        <f>('TE BE'!$AB$5+'TE BF'!$AB$5+'TE CVA'!$AB$5)*1</f>
        <v>239.91115615602757</v>
      </c>
      <c r="AB51" s="6">
        <f>$K$51*$V$51</f>
        <v>0</v>
      </c>
      <c r="AC51" s="6">
        <f>$M$51*$W$51</f>
        <v>76603.727760000009</v>
      </c>
      <c r="AD51" s="6">
        <f>$O$51*$X$51</f>
        <v>17948.514570000003</v>
      </c>
      <c r="AE51" s="6">
        <f>$K$51*$Y$51</f>
        <v>0</v>
      </c>
      <c r="AF51" s="6">
        <f ca="1">$M$51*$Z$51</f>
        <v>80153.662870925487</v>
      </c>
      <c r="AG51" s="6">
        <f>$O$51*$AA$51</f>
        <v>17840.033482918367</v>
      </c>
    </row>
    <row r="52" spans="1:33" ht="11.25" customHeight="1" x14ac:dyDescent="0.25">
      <c r="A52" s="4" t="s">
        <v>21</v>
      </c>
      <c r="B52" s="4" t="s">
        <v>33</v>
      </c>
      <c r="C52" s="4" t="s">
        <v>37</v>
      </c>
      <c r="D52" s="4" t="s">
        <v>32</v>
      </c>
      <c r="E52" s="4" t="s">
        <v>25</v>
      </c>
      <c r="F52" s="4" t="s">
        <v>25</v>
      </c>
      <c r="G52" s="4" t="s">
        <v>25</v>
      </c>
      <c r="H52" s="4" t="s">
        <v>35</v>
      </c>
      <c r="I52" s="5">
        <v>44501</v>
      </c>
      <c r="J52" s="6">
        <v>0</v>
      </c>
      <c r="K52" s="6">
        <v>0</v>
      </c>
      <c r="L52" s="6">
        <v>66.813000000000002</v>
      </c>
      <c r="M52" s="6">
        <v>66.813000000000002</v>
      </c>
      <c r="N52" s="6">
        <v>66.813000000000002</v>
      </c>
      <c r="O52" s="6">
        <v>66.813000000000002</v>
      </c>
      <c r="P52" s="6">
        <v>0</v>
      </c>
      <c r="Q52" s="4" t="s">
        <v>26</v>
      </c>
      <c r="R52" s="4">
        <v>0</v>
      </c>
      <c r="S52" s="6">
        <v>0</v>
      </c>
      <c r="T52" s="6">
        <v>28</v>
      </c>
      <c r="U52" s="6">
        <v>45</v>
      </c>
      <c r="V52" s="6">
        <f>IF(ISERROR(VLOOKUP($S$52,'TAR FIN'!$A$1:$O$85,15,0)),0,VLOOKUP($S$52,'TAR FIN'!$A$1:$O$85,15,0))</f>
        <v>0</v>
      </c>
      <c r="W52" s="6">
        <f>IF(ISERROR(VLOOKUP($T$52,'TAR FIN'!$A$1:$O$85,15,0)),0,VLOOKUP($T$52,'TAR FIN'!$A$1:$O$85,15,0))</f>
        <v>1030.1600000000001</v>
      </c>
      <c r="X52" s="6">
        <f>IF(ISERROR(VLOOKUP($U$52,'TAR FIN'!$A$1:$O$85,15,0)),0,VLOOKUP($U$52,'TAR FIN'!$A$1:$O$85,15,0))</f>
        <v>241.37</v>
      </c>
      <c r="Y52" s="6"/>
      <c r="Z52" s="6">
        <f ca="1">('TUSD BE'!$AM$11+'TUSD BF'!$AM$11+'TUSD CVA'!$AM$11)*1</f>
        <v>1077.8992061823467</v>
      </c>
      <c r="AA52" s="6">
        <f>('TE BE'!$AB$5+'TE BF'!$AB$5+'TE CVA'!$AB$5)*1</f>
        <v>239.91115615602757</v>
      </c>
      <c r="AB52" s="6">
        <f>$K$52*$V$52</f>
        <v>0</v>
      </c>
      <c r="AC52" s="6">
        <f>$M$52*$W$52</f>
        <v>68828.080080000014</v>
      </c>
      <c r="AD52" s="6">
        <f>$O$52*$X$52</f>
        <v>16126.653810000002</v>
      </c>
      <c r="AE52" s="6">
        <f>$K$52*$Y$52</f>
        <v>0</v>
      </c>
      <c r="AF52" s="6">
        <f ca="1">$M$52*$Z$52</f>
        <v>72017.679662661132</v>
      </c>
      <c r="AG52" s="6">
        <f>$O$52*$AA$52</f>
        <v>16029.18407625267</v>
      </c>
    </row>
    <row r="53" spans="1:33" ht="11.25" customHeight="1" x14ac:dyDescent="0.25">
      <c r="A53" s="4" t="s">
        <v>21</v>
      </c>
      <c r="B53" s="4" t="s">
        <v>33</v>
      </c>
      <c r="C53" s="4" t="s">
        <v>37</v>
      </c>
      <c r="D53" s="4" t="s">
        <v>32</v>
      </c>
      <c r="E53" s="4" t="s">
        <v>25</v>
      </c>
      <c r="F53" s="4" t="s">
        <v>25</v>
      </c>
      <c r="G53" s="4" t="s">
        <v>25</v>
      </c>
      <c r="H53" s="4" t="s">
        <v>35</v>
      </c>
      <c r="I53" s="5">
        <v>44531</v>
      </c>
      <c r="J53" s="6">
        <v>0</v>
      </c>
      <c r="K53" s="6">
        <v>0</v>
      </c>
      <c r="L53" s="6">
        <v>48.868000000000002</v>
      </c>
      <c r="M53" s="6">
        <v>48.868000000000002</v>
      </c>
      <c r="N53" s="6">
        <v>48.868000000000002</v>
      </c>
      <c r="O53" s="6">
        <v>48.868000000000002</v>
      </c>
      <c r="P53" s="6">
        <v>0</v>
      </c>
      <c r="Q53" s="4" t="s">
        <v>26</v>
      </c>
      <c r="R53" s="4">
        <v>0</v>
      </c>
      <c r="S53" s="6">
        <v>0</v>
      </c>
      <c r="T53" s="6">
        <v>28</v>
      </c>
      <c r="U53" s="6">
        <v>45</v>
      </c>
      <c r="V53" s="6">
        <f>IF(ISERROR(VLOOKUP($S$53,'TAR FIN'!$A$1:$O$85,15,0)),0,VLOOKUP($S$53,'TAR FIN'!$A$1:$O$85,15,0))</f>
        <v>0</v>
      </c>
      <c r="W53" s="6">
        <f>IF(ISERROR(VLOOKUP($T$53,'TAR FIN'!$A$1:$O$85,15,0)),0,VLOOKUP($T$53,'TAR FIN'!$A$1:$O$85,15,0))</f>
        <v>1030.1600000000001</v>
      </c>
      <c r="X53" s="6">
        <f>IF(ISERROR(VLOOKUP($U$53,'TAR FIN'!$A$1:$O$85,15,0)),0,VLOOKUP($U$53,'TAR FIN'!$A$1:$O$85,15,0))</f>
        <v>241.37</v>
      </c>
      <c r="Y53" s="6"/>
      <c r="Z53" s="6">
        <f ca="1">('TUSD BE'!$AM$11+'TUSD BF'!$AM$11+'TUSD CVA'!$AM$11)*1</f>
        <v>1077.8992061823467</v>
      </c>
      <c r="AA53" s="6">
        <f>('TE BE'!$AB$5+'TE BF'!$AB$5+'TE CVA'!$AB$5)*1</f>
        <v>239.91115615602757</v>
      </c>
      <c r="AB53" s="6">
        <f>$K$53*$V$53</f>
        <v>0</v>
      </c>
      <c r="AC53" s="6">
        <f>$M$53*$W$53</f>
        <v>50341.858880000007</v>
      </c>
      <c r="AD53" s="6">
        <f>$O$53*$X$53</f>
        <v>11795.26916</v>
      </c>
      <c r="AE53" s="6">
        <f>$K$53*$Y$53</f>
        <v>0</v>
      </c>
      <c r="AF53" s="6">
        <f ca="1">$M$53*$Z$53</f>
        <v>52674.778407718921</v>
      </c>
      <c r="AG53" s="6">
        <f>$O$53*$AA$53</f>
        <v>11723.978379032756</v>
      </c>
    </row>
    <row r="54" spans="1:33" ht="11.25" customHeight="1" x14ac:dyDescent="0.25">
      <c r="A54" s="4" t="s">
        <v>21</v>
      </c>
      <c r="B54" s="4" t="s">
        <v>33</v>
      </c>
      <c r="C54" s="4" t="s">
        <v>37</v>
      </c>
      <c r="D54" s="4" t="s">
        <v>32</v>
      </c>
      <c r="E54" s="4" t="s">
        <v>25</v>
      </c>
      <c r="F54" s="4" t="s">
        <v>25</v>
      </c>
      <c r="G54" s="4" t="s">
        <v>25</v>
      </c>
      <c r="H54" s="4" t="s">
        <v>35</v>
      </c>
      <c r="I54" s="5">
        <v>44562</v>
      </c>
      <c r="J54" s="6">
        <v>0</v>
      </c>
      <c r="K54" s="6">
        <v>0</v>
      </c>
      <c r="L54" s="6">
        <v>45.069000000000003</v>
      </c>
      <c r="M54" s="6">
        <v>45.069000000000003</v>
      </c>
      <c r="N54" s="6">
        <v>45.069000000000003</v>
      </c>
      <c r="O54" s="6">
        <v>45.069000000000003</v>
      </c>
      <c r="P54" s="6">
        <v>0</v>
      </c>
      <c r="Q54" s="4" t="s">
        <v>26</v>
      </c>
      <c r="R54" s="4">
        <v>0</v>
      </c>
      <c r="S54" s="6">
        <v>0</v>
      </c>
      <c r="T54" s="6">
        <v>28</v>
      </c>
      <c r="U54" s="6">
        <v>45</v>
      </c>
      <c r="V54" s="6">
        <f>IF(ISERROR(VLOOKUP($S$54,'TAR FIN'!$A$1:$O$85,15,0)),0,VLOOKUP($S$54,'TAR FIN'!$A$1:$O$85,15,0))</f>
        <v>0</v>
      </c>
      <c r="W54" s="6">
        <f>IF(ISERROR(VLOOKUP($T$54,'TAR FIN'!$A$1:$O$85,15,0)),0,VLOOKUP($T$54,'TAR FIN'!$A$1:$O$85,15,0))</f>
        <v>1030.1600000000001</v>
      </c>
      <c r="X54" s="6">
        <f>IF(ISERROR(VLOOKUP($U$54,'TAR FIN'!$A$1:$O$85,15,0)),0,VLOOKUP($U$54,'TAR FIN'!$A$1:$O$85,15,0))</f>
        <v>241.37</v>
      </c>
      <c r="Y54" s="6"/>
      <c r="Z54" s="6">
        <f ca="1">('TUSD BE'!$AM$11+'TUSD BF'!$AM$11+'TUSD CVA'!$AM$11)*1</f>
        <v>1077.8992061823467</v>
      </c>
      <c r="AA54" s="6">
        <f>('TE BE'!$AB$5+'TE BF'!$AB$5+'TE CVA'!$AB$5)*1</f>
        <v>239.91115615602757</v>
      </c>
      <c r="AB54" s="6">
        <f>$K$54*$V$54</f>
        <v>0</v>
      </c>
      <c r="AC54" s="6">
        <f>$M$54*$W$54</f>
        <v>46428.281040000009</v>
      </c>
      <c r="AD54" s="6">
        <f>$O$54*$X$54</f>
        <v>10878.304530000001</v>
      </c>
      <c r="AE54" s="6">
        <f>$K$54*$Y$54</f>
        <v>0</v>
      </c>
      <c r="AF54" s="6">
        <f ca="1">$M$54*$Z$54</f>
        <v>48579.839323432185</v>
      </c>
      <c r="AG54" s="6">
        <f>$O$54*$AA$54</f>
        <v>10812.555896796008</v>
      </c>
    </row>
    <row r="55" spans="1:33" ht="11.25" customHeight="1" x14ac:dyDescent="0.25">
      <c r="A55" s="4" t="s">
        <v>21</v>
      </c>
      <c r="B55" s="4" t="s">
        <v>33</v>
      </c>
      <c r="C55" s="4" t="s">
        <v>37</v>
      </c>
      <c r="D55" s="4" t="s">
        <v>32</v>
      </c>
      <c r="E55" s="4" t="s">
        <v>25</v>
      </c>
      <c r="F55" s="4" t="s">
        <v>25</v>
      </c>
      <c r="G55" s="4" t="s">
        <v>25</v>
      </c>
      <c r="H55" s="4" t="s">
        <v>35</v>
      </c>
      <c r="I55" s="5">
        <v>44593</v>
      </c>
      <c r="J55" s="6">
        <v>0</v>
      </c>
      <c r="K55" s="6">
        <v>0</v>
      </c>
      <c r="L55" s="6">
        <v>59.723999999999997</v>
      </c>
      <c r="M55" s="6">
        <v>59.723999999999997</v>
      </c>
      <c r="N55" s="6">
        <v>59.723999999999997</v>
      </c>
      <c r="O55" s="6">
        <v>59.723999999999997</v>
      </c>
      <c r="P55" s="6">
        <v>0</v>
      </c>
      <c r="Q55" s="4" t="s">
        <v>26</v>
      </c>
      <c r="R55" s="4">
        <v>0</v>
      </c>
      <c r="S55" s="6">
        <v>0</v>
      </c>
      <c r="T55" s="6">
        <v>28</v>
      </c>
      <c r="U55" s="6">
        <v>45</v>
      </c>
      <c r="V55" s="6">
        <f>IF(ISERROR(VLOOKUP($S$55,'TAR FIN'!$A$1:$O$85,15,0)),0,VLOOKUP($S$55,'TAR FIN'!$A$1:$O$85,15,0))</f>
        <v>0</v>
      </c>
      <c r="W55" s="6">
        <f>IF(ISERROR(VLOOKUP($T$55,'TAR FIN'!$A$1:$O$85,15,0)),0,VLOOKUP($T$55,'TAR FIN'!$A$1:$O$85,15,0))</f>
        <v>1030.1600000000001</v>
      </c>
      <c r="X55" s="6">
        <f>IF(ISERROR(VLOOKUP($U$55,'TAR FIN'!$A$1:$O$85,15,0)),0,VLOOKUP($U$55,'TAR FIN'!$A$1:$O$85,15,0))</f>
        <v>241.37</v>
      </c>
      <c r="Y55" s="6"/>
      <c r="Z55" s="6">
        <f ca="1">('TUSD BE'!$AM$11+'TUSD BF'!$AM$11+'TUSD CVA'!$AM$11)*1</f>
        <v>1077.8992061823467</v>
      </c>
      <c r="AA55" s="6">
        <f>('TE BE'!$AB$5+'TE BF'!$AB$5+'TE CVA'!$AB$5)*1</f>
        <v>239.91115615602757</v>
      </c>
      <c r="AB55" s="6">
        <f>$K$55*$V$55</f>
        <v>0</v>
      </c>
      <c r="AC55" s="6">
        <f>$M$55*$W$55</f>
        <v>61525.275840000002</v>
      </c>
      <c r="AD55" s="6">
        <f>$O$55*$X$55</f>
        <v>14415.58188</v>
      </c>
      <c r="AE55" s="6">
        <f>$K$55*$Y$55</f>
        <v>0</v>
      </c>
      <c r="AF55" s="6">
        <f ca="1">$M$55*$Z$55</f>
        <v>64376.45219003447</v>
      </c>
      <c r="AG55" s="6">
        <f>$O$55*$AA$55</f>
        <v>14328.45389026259</v>
      </c>
    </row>
    <row r="56" spans="1:33" ht="11.25" customHeight="1" x14ac:dyDescent="0.25">
      <c r="A56" s="4" t="s">
        <v>21</v>
      </c>
      <c r="B56" s="4" t="s">
        <v>33</v>
      </c>
      <c r="C56" s="4" t="s">
        <v>37</v>
      </c>
      <c r="D56" s="4" t="s">
        <v>32</v>
      </c>
      <c r="E56" s="4" t="s">
        <v>25</v>
      </c>
      <c r="F56" s="4" t="s">
        <v>25</v>
      </c>
      <c r="G56" s="4" t="s">
        <v>25</v>
      </c>
      <c r="H56" s="4" t="s">
        <v>35</v>
      </c>
      <c r="I56" s="5">
        <v>44621</v>
      </c>
      <c r="J56" s="6">
        <v>0</v>
      </c>
      <c r="K56" s="6">
        <v>0</v>
      </c>
      <c r="L56" s="6">
        <v>67.793999999999997</v>
      </c>
      <c r="M56" s="6">
        <v>67.793999999999997</v>
      </c>
      <c r="N56" s="6">
        <v>67.793999999999997</v>
      </c>
      <c r="O56" s="6">
        <v>67.793999999999997</v>
      </c>
      <c r="P56" s="6">
        <v>0</v>
      </c>
      <c r="Q56" s="4" t="s">
        <v>26</v>
      </c>
      <c r="R56" s="4">
        <v>0</v>
      </c>
      <c r="S56" s="6">
        <v>0</v>
      </c>
      <c r="T56" s="6">
        <v>28</v>
      </c>
      <c r="U56" s="6">
        <v>45</v>
      </c>
      <c r="V56" s="6">
        <f>IF(ISERROR(VLOOKUP($S$56,'TAR FIN'!$A$1:$O$85,15,0)),0,VLOOKUP($S$56,'TAR FIN'!$A$1:$O$85,15,0))</f>
        <v>0</v>
      </c>
      <c r="W56" s="6">
        <f>IF(ISERROR(VLOOKUP($T$56,'TAR FIN'!$A$1:$O$85,15,0)),0,VLOOKUP($T$56,'TAR FIN'!$A$1:$O$85,15,0))</f>
        <v>1030.1600000000001</v>
      </c>
      <c r="X56" s="6">
        <f>IF(ISERROR(VLOOKUP($U$56,'TAR FIN'!$A$1:$O$85,15,0)),0,VLOOKUP($U$56,'TAR FIN'!$A$1:$O$85,15,0))</f>
        <v>241.37</v>
      </c>
      <c r="Y56" s="6"/>
      <c r="Z56" s="6">
        <f ca="1">('TUSD BE'!$AM$11+'TUSD BF'!$AM$11+'TUSD CVA'!$AM$11)*1</f>
        <v>1077.8992061823467</v>
      </c>
      <c r="AA56" s="6">
        <f>('TE BE'!$AB$5+'TE BF'!$AB$5+'TE CVA'!$AB$5)*1</f>
        <v>239.91115615602757</v>
      </c>
      <c r="AB56" s="6">
        <f>$K$56*$V$56</f>
        <v>0</v>
      </c>
      <c r="AC56" s="6">
        <f>$M$56*$W$56</f>
        <v>69838.66704</v>
      </c>
      <c r="AD56" s="6">
        <f>$O$56*$X$56</f>
        <v>16363.43778</v>
      </c>
      <c r="AE56" s="6">
        <f>$K$56*$Y$56</f>
        <v>0</v>
      </c>
      <c r="AF56" s="6">
        <f ca="1">$M$56*$Z$56</f>
        <v>73075.098783926005</v>
      </c>
      <c r="AG56" s="6">
        <f>$O$56*$AA$56</f>
        <v>16264.536920441733</v>
      </c>
    </row>
    <row r="57" spans="1:33" ht="11.25" customHeight="1" x14ac:dyDescent="0.25">
      <c r="A57" s="4" t="s">
        <v>21</v>
      </c>
      <c r="B57" s="4" t="s">
        <v>33</v>
      </c>
      <c r="C57" s="4" t="s">
        <v>37</v>
      </c>
      <c r="D57" s="4" t="s">
        <v>32</v>
      </c>
      <c r="E57" s="4" t="s">
        <v>25</v>
      </c>
      <c r="F57" s="4" t="s">
        <v>25</v>
      </c>
      <c r="G57" s="4" t="s">
        <v>25</v>
      </c>
      <c r="H57" s="4" t="s">
        <v>35</v>
      </c>
      <c r="I57" s="5">
        <v>44652</v>
      </c>
      <c r="J57" s="6">
        <v>0</v>
      </c>
      <c r="K57" s="6">
        <v>0</v>
      </c>
      <c r="L57" s="6">
        <v>53.433</v>
      </c>
      <c r="M57" s="6">
        <v>53.433</v>
      </c>
      <c r="N57" s="6">
        <v>53.433</v>
      </c>
      <c r="O57" s="6">
        <v>53.433</v>
      </c>
      <c r="P57" s="6">
        <v>0</v>
      </c>
      <c r="Q57" s="4" t="s">
        <v>26</v>
      </c>
      <c r="R57" s="4">
        <v>0</v>
      </c>
      <c r="S57" s="6">
        <v>0</v>
      </c>
      <c r="T57" s="6">
        <v>28</v>
      </c>
      <c r="U57" s="6">
        <v>45</v>
      </c>
      <c r="V57" s="6">
        <f>IF(ISERROR(VLOOKUP($S$57,'TAR FIN'!$A$1:$O$85,15,0)),0,VLOOKUP($S$57,'TAR FIN'!$A$1:$O$85,15,0))</f>
        <v>0</v>
      </c>
      <c r="W57" s="6">
        <f>IF(ISERROR(VLOOKUP($T$57,'TAR FIN'!$A$1:$O$85,15,0)),0,VLOOKUP($T$57,'TAR FIN'!$A$1:$O$85,15,0))</f>
        <v>1030.1600000000001</v>
      </c>
      <c r="X57" s="6">
        <f>IF(ISERROR(VLOOKUP($U$57,'TAR FIN'!$A$1:$O$85,15,0)),0,VLOOKUP($U$57,'TAR FIN'!$A$1:$O$85,15,0))</f>
        <v>241.37</v>
      </c>
      <c r="Y57" s="6"/>
      <c r="Z57" s="6">
        <f ca="1">('TUSD BE'!$AM$11+'TUSD BF'!$AM$11+'TUSD CVA'!$AM$11)*1</f>
        <v>1077.8992061823467</v>
      </c>
      <c r="AA57" s="6">
        <f>('TE BE'!$AB$5+'TE BF'!$AB$5+'TE CVA'!$AB$5)*1</f>
        <v>239.91115615602757</v>
      </c>
      <c r="AB57" s="6">
        <f>$K$57*$V$57</f>
        <v>0</v>
      </c>
      <c r="AC57" s="6">
        <f>$M$57*$W$57</f>
        <v>55044.539280000005</v>
      </c>
      <c r="AD57" s="6">
        <f>$O$57*$X$57</f>
        <v>12897.12321</v>
      </c>
      <c r="AE57" s="6">
        <f>$K$57*$Y$57</f>
        <v>0</v>
      </c>
      <c r="AF57" s="6">
        <f ca="1">$M$57*$Z$57</f>
        <v>57595.388283941327</v>
      </c>
      <c r="AG57" s="6">
        <f>$O$57*$AA$57</f>
        <v>12819.172806885021</v>
      </c>
    </row>
    <row r="58" spans="1:33" ht="11.25" customHeight="1" x14ac:dyDescent="0.25">
      <c r="A58" s="4" t="s">
        <v>21</v>
      </c>
      <c r="B58" s="4" t="s">
        <v>33</v>
      </c>
      <c r="C58" s="4" t="s">
        <v>37</v>
      </c>
      <c r="D58" s="4" t="s">
        <v>32</v>
      </c>
      <c r="E58" s="4" t="s">
        <v>25</v>
      </c>
      <c r="F58" s="4" t="s">
        <v>25</v>
      </c>
      <c r="G58" s="4" t="s">
        <v>25</v>
      </c>
      <c r="H58" s="4" t="s">
        <v>35</v>
      </c>
      <c r="I58" s="5">
        <v>44682</v>
      </c>
      <c r="J58" s="6">
        <v>0</v>
      </c>
      <c r="K58" s="6">
        <v>0</v>
      </c>
      <c r="L58" s="6">
        <v>69.762</v>
      </c>
      <c r="M58" s="6">
        <v>69.762</v>
      </c>
      <c r="N58" s="6">
        <v>69.762</v>
      </c>
      <c r="O58" s="6">
        <v>69.762</v>
      </c>
      <c r="P58" s="6">
        <v>0</v>
      </c>
      <c r="Q58" s="4" t="s">
        <v>26</v>
      </c>
      <c r="R58" s="4">
        <v>0</v>
      </c>
      <c r="S58" s="6">
        <v>0</v>
      </c>
      <c r="T58" s="6">
        <v>28</v>
      </c>
      <c r="U58" s="6">
        <v>45</v>
      </c>
      <c r="V58" s="6">
        <f>IF(ISERROR(VLOOKUP($S$58,'TAR FIN'!$A$1:$O$85,15,0)),0,VLOOKUP($S$58,'TAR FIN'!$A$1:$O$85,15,0))</f>
        <v>0</v>
      </c>
      <c r="W58" s="6">
        <f>IF(ISERROR(VLOOKUP($T$58,'TAR FIN'!$A$1:$O$85,15,0)),0,VLOOKUP($T$58,'TAR FIN'!$A$1:$O$85,15,0))</f>
        <v>1030.1600000000001</v>
      </c>
      <c r="X58" s="6">
        <f>IF(ISERROR(VLOOKUP($U$58,'TAR FIN'!$A$1:$O$85,15,0)),0,VLOOKUP($U$58,'TAR FIN'!$A$1:$O$85,15,0))</f>
        <v>241.37</v>
      </c>
      <c r="Y58" s="6"/>
      <c r="Z58" s="6">
        <f ca="1">('TUSD BE'!$AM$11+'TUSD BF'!$AM$11+'TUSD CVA'!$AM$11)*1</f>
        <v>1077.8992061823467</v>
      </c>
      <c r="AA58" s="6">
        <f>('TE BE'!$AB$5+'TE BF'!$AB$5+'TE CVA'!$AB$5)*1</f>
        <v>239.91115615602757</v>
      </c>
      <c r="AB58" s="6">
        <f>$K$58*$V$58</f>
        <v>0</v>
      </c>
      <c r="AC58" s="6">
        <f>$M$58*$W$58</f>
        <v>71866.021919999999</v>
      </c>
      <c r="AD58" s="6">
        <f>$O$58*$X$58</f>
        <v>16838.453939999999</v>
      </c>
      <c r="AE58" s="6">
        <f>$K$58*$Y$58</f>
        <v>0</v>
      </c>
      <c r="AF58" s="6">
        <f ca="1">$M$58*$Z$58</f>
        <v>75196.404421692874</v>
      </c>
      <c r="AG58" s="6">
        <f>$O$58*$AA$58</f>
        <v>16736.682075756795</v>
      </c>
    </row>
    <row r="59" spans="1:33" ht="11.25" customHeight="1" x14ac:dyDescent="0.25">
      <c r="A59" s="4" t="s">
        <v>21</v>
      </c>
      <c r="B59" s="4" t="s">
        <v>33</v>
      </c>
      <c r="C59" s="4" t="s">
        <v>37</v>
      </c>
      <c r="D59" s="4" t="s">
        <v>32</v>
      </c>
      <c r="E59" s="4" t="s">
        <v>25</v>
      </c>
      <c r="F59" s="4" t="s">
        <v>25</v>
      </c>
      <c r="G59" s="4" t="s">
        <v>25</v>
      </c>
      <c r="H59" s="4" t="s">
        <v>35</v>
      </c>
      <c r="I59" s="5">
        <v>44713</v>
      </c>
      <c r="J59" s="6">
        <v>0</v>
      </c>
      <c r="K59" s="6">
        <v>0</v>
      </c>
      <c r="L59" s="6">
        <v>69.900999999999996</v>
      </c>
      <c r="M59" s="6">
        <v>69.900999999999996</v>
      </c>
      <c r="N59" s="6">
        <v>69.900999999999996</v>
      </c>
      <c r="O59" s="6">
        <v>69.900999999999996</v>
      </c>
      <c r="P59" s="6">
        <v>0</v>
      </c>
      <c r="Q59" s="4" t="s">
        <v>26</v>
      </c>
      <c r="R59" s="4">
        <v>0</v>
      </c>
      <c r="S59" s="6">
        <v>0</v>
      </c>
      <c r="T59" s="6">
        <v>28</v>
      </c>
      <c r="U59" s="6">
        <v>45</v>
      </c>
      <c r="V59" s="6">
        <f>IF(ISERROR(VLOOKUP($S$59,'TAR FIN'!$A$1:$O$85,15,0)),0,VLOOKUP($S$59,'TAR FIN'!$A$1:$O$85,15,0))</f>
        <v>0</v>
      </c>
      <c r="W59" s="6">
        <f>IF(ISERROR(VLOOKUP($T$59,'TAR FIN'!$A$1:$O$85,15,0)),0,VLOOKUP($T$59,'TAR FIN'!$A$1:$O$85,15,0))</f>
        <v>1030.1600000000001</v>
      </c>
      <c r="X59" s="6">
        <f>IF(ISERROR(VLOOKUP($U$59,'TAR FIN'!$A$1:$O$85,15,0)),0,VLOOKUP($U$59,'TAR FIN'!$A$1:$O$85,15,0))</f>
        <v>241.37</v>
      </c>
      <c r="Y59" s="6"/>
      <c r="Z59" s="6">
        <f ca="1">('TUSD BE'!$AM$11+'TUSD BF'!$AM$11+'TUSD CVA'!$AM$11)*1</f>
        <v>1077.8992061823467</v>
      </c>
      <c r="AA59" s="6">
        <f>('TE BE'!$AB$5+'TE BF'!$AB$5+'TE CVA'!$AB$5)*1</f>
        <v>239.91115615602757</v>
      </c>
      <c r="AB59" s="6">
        <f>$K$59*$V$59</f>
        <v>0</v>
      </c>
      <c r="AC59" s="6">
        <f>$M$59*$W$59</f>
        <v>72009.214160000003</v>
      </c>
      <c r="AD59" s="6">
        <f>$O$59*$X$59</f>
        <v>16872.004369999999</v>
      </c>
      <c r="AE59" s="6">
        <f>$K$59*$Y$59</f>
        <v>0</v>
      </c>
      <c r="AF59" s="6">
        <f ca="1">$M$59*$Z$59</f>
        <v>75346.232411352219</v>
      </c>
      <c r="AG59" s="6">
        <f>$O$59*$AA$59</f>
        <v>16770.029726462482</v>
      </c>
    </row>
    <row r="60" spans="1:33" ht="11.25" customHeight="1" x14ac:dyDescent="0.25">
      <c r="A60" s="4" t="s">
        <v>21</v>
      </c>
      <c r="B60" s="4" t="s">
        <v>33</v>
      </c>
      <c r="C60" s="4" t="s">
        <v>37</v>
      </c>
      <c r="D60" s="4" t="s">
        <v>32</v>
      </c>
      <c r="E60" s="4" t="s">
        <v>25</v>
      </c>
      <c r="F60" s="4" t="s">
        <v>25</v>
      </c>
      <c r="G60" s="4" t="s">
        <v>25</v>
      </c>
      <c r="H60" s="4" t="s">
        <v>35</v>
      </c>
      <c r="I60" s="5">
        <v>44743</v>
      </c>
      <c r="J60" s="6">
        <v>0</v>
      </c>
      <c r="K60" s="6">
        <v>0</v>
      </c>
      <c r="L60" s="6">
        <v>70.543999999999997</v>
      </c>
      <c r="M60" s="6">
        <v>70.543999999999997</v>
      </c>
      <c r="N60" s="6">
        <v>70.543999999999997</v>
      </c>
      <c r="O60" s="6">
        <v>70.543999999999997</v>
      </c>
      <c r="P60" s="6">
        <v>0</v>
      </c>
      <c r="Q60" s="4" t="s">
        <v>26</v>
      </c>
      <c r="R60" s="4">
        <v>0</v>
      </c>
      <c r="S60" s="6">
        <v>0</v>
      </c>
      <c r="T60" s="6">
        <v>28</v>
      </c>
      <c r="U60" s="6">
        <v>45</v>
      </c>
      <c r="V60" s="6">
        <f>IF(ISERROR(VLOOKUP($S$60,'TAR FIN'!$A$1:$O$85,15,0)),0,VLOOKUP($S$60,'TAR FIN'!$A$1:$O$85,15,0))</f>
        <v>0</v>
      </c>
      <c r="W60" s="6">
        <f>IF(ISERROR(VLOOKUP($T$60,'TAR FIN'!$A$1:$O$85,15,0)),0,VLOOKUP($T$60,'TAR FIN'!$A$1:$O$85,15,0))</f>
        <v>1030.1600000000001</v>
      </c>
      <c r="X60" s="6">
        <f>IF(ISERROR(VLOOKUP($U$60,'TAR FIN'!$A$1:$O$85,15,0)),0,VLOOKUP($U$60,'TAR FIN'!$A$1:$O$85,15,0))</f>
        <v>241.37</v>
      </c>
      <c r="Y60" s="6"/>
      <c r="Z60" s="6">
        <f ca="1">('TUSD BE'!$AM$11+'TUSD BF'!$AM$11+'TUSD CVA'!$AM$11)*1</f>
        <v>1077.8992061823467</v>
      </c>
      <c r="AA60" s="6">
        <f>('TE BE'!$AB$5+'TE BF'!$AB$5+'TE CVA'!$AB$5)*1</f>
        <v>239.91115615602757</v>
      </c>
      <c r="AB60" s="6">
        <f>$K$60*$V$60</f>
        <v>0</v>
      </c>
      <c r="AC60" s="6">
        <f>$M$60*$W$60</f>
        <v>72671.607040000003</v>
      </c>
      <c r="AD60" s="6">
        <f>$O$60*$X$60</f>
        <v>17027.205279999998</v>
      </c>
      <c r="AE60" s="6">
        <f>$K$60*$Y$60</f>
        <v>0</v>
      </c>
      <c r="AF60" s="6">
        <f ca="1">$M$60*$Z$60</f>
        <v>76039.321600927462</v>
      </c>
      <c r="AG60" s="6">
        <f>$O$60*$AA$60</f>
        <v>16924.292599870809</v>
      </c>
    </row>
    <row r="61" spans="1:33" ht="11.25" customHeight="1" x14ac:dyDescent="0.25">
      <c r="A61" s="4" t="s">
        <v>21</v>
      </c>
      <c r="B61" s="4" t="s">
        <v>33</v>
      </c>
      <c r="C61" s="4" t="s">
        <v>37</v>
      </c>
      <c r="D61" s="4" t="s">
        <v>32</v>
      </c>
      <c r="E61" s="4" t="s">
        <v>25</v>
      </c>
      <c r="F61" s="4" t="s">
        <v>25</v>
      </c>
      <c r="G61" s="4" t="s">
        <v>25</v>
      </c>
      <c r="H61" s="4" t="s">
        <v>35</v>
      </c>
      <c r="I61" s="5">
        <v>44774</v>
      </c>
      <c r="J61" s="6">
        <v>0</v>
      </c>
      <c r="K61" s="6">
        <v>0</v>
      </c>
      <c r="L61" s="6">
        <v>72.47</v>
      </c>
      <c r="M61" s="6">
        <v>72.47</v>
      </c>
      <c r="N61" s="6">
        <v>72.47</v>
      </c>
      <c r="O61" s="6">
        <v>72.47</v>
      </c>
      <c r="P61" s="6">
        <v>0</v>
      </c>
      <c r="Q61" s="4" t="s">
        <v>26</v>
      </c>
      <c r="R61" s="4">
        <v>0</v>
      </c>
      <c r="S61" s="6">
        <v>0</v>
      </c>
      <c r="T61" s="6">
        <v>28</v>
      </c>
      <c r="U61" s="6">
        <v>45</v>
      </c>
      <c r="V61" s="6">
        <f>IF(ISERROR(VLOOKUP($S$61,'TAR FIN'!$A$1:$O$85,15,0)),0,VLOOKUP($S$61,'TAR FIN'!$A$1:$O$85,15,0))</f>
        <v>0</v>
      </c>
      <c r="W61" s="6">
        <f>IF(ISERROR(VLOOKUP($T$61,'TAR FIN'!$A$1:$O$85,15,0)),0,VLOOKUP($T$61,'TAR FIN'!$A$1:$O$85,15,0))</f>
        <v>1030.1600000000001</v>
      </c>
      <c r="X61" s="6">
        <f>IF(ISERROR(VLOOKUP($U$61,'TAR FIN'!$A$1:$O$85,15,0)),0,VLOOKUP($U$61,'TAR FIN'!$A$1:$O$85,15,0))</f>
        <v>241.37</v>
      </c>
      <c r="Y61" s="6"/>
      <c r="Z61" s="6">
        <f ca="1">('TUSD BE'!$AM$11+'TUSD BF'!$AM$11+'TUSD CVA'!$AM$11)*1</f>
        <v>1077.8992061823467</v>
      </c>
      <c r="AA61" s="6">
        <f>('TE BE'!$AB$5+'TE BF'!$AB$5+'TE CVA'!$AB$5)*1</f>
        <v>239.91115615602757</v>
      </c>
      <c r="AB61" s="6">
        <f>$K$61*$V$61</f>
        <v>0</v>
      </c>
      <c r="AC61" s="6">
        <f>$M$61*$W$61</f>
        <v>74655.695200000002</v>
      </c>
      <c r="AD61" s="6">
        <f>$O$61*$X$61</f>
        <v>17492.083900000001</v>
      </c>
      <c r="AE61" s="6">
        <f>$K$61*$Y$61</f>
        <v>0</v>
      </c>
      <c r="AF61" s="6">
        <f ca="1">$M$61*$Z$61</f>
        <v>78115.355472034658</v>
      </c>
      <c r="AG61" s="6">
        <f>$O$61*$AA$61</f>
        <v>17386.361486627316</v>
      </c>
    </row>
    <row r="62" spans="1:3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24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237.81800000000001</v>
      </c>
      <c r="M62" s="6">
        <v>237.81800000000001</v>
      </c>
      <c r="N62" s="6">
        <v>237.81800000000001</v>
      </c>
      <c r="O62" s="6">
        <v>237.81800000000001</v>
      </c>
      <c r="P62" s="6">
        <v>1033</v>
      </c>
      <c r="Q62" s="4" t="s">
        <v>26</v>
      </c>
      <c r="R62" s="4">
        <v>0</v>
      </c>
      <c r="S62" s="6">
        <v>0</v>
      </c>
      <c r="T62" s="6">
        <v>17</v>
      </c>
      <c r="U62" s="6">
        <v>52</v>
      </c>
      <c r="V62" s="6">
        <f>IF(ISERROR(VLOOKUP($S$62,'TAR FIN'!$A$1:$O$85,15,0)),0,VLOOKUP($S$62,'TAR FIN'!$A$1:$O$85,15,0))</f>
        <v>0</v>
      </c>
      <c r="W62" s="6">
        <f>IF(ISERROR(VLOOKUP($T$62,'TAR FIN'!$A$1:$O$85,15,0)),0,VLOOKUP($T$62,'TAR FIN'!$A$1:$O$85,15,0))</f>
        <v>222.38</v>
      </c>
      <c r="X62" s="6">
        <f>IF(ISERROR(VLOOKUP($U$62,'TAR FIN'!$A$1:$O$85,15,0)),0,VLOOKUP($U$62,'TAR FIN'!$A$1:$O$85,15,0))</f>
        <v>241.37</v>
      </c>
      <c r="Y62" s="6"/>
      <c r="Z62" s="6">
        <f ca="1">('TUSD BE'!$AM$20+'TUSD BF'!$AM$20+'TUSD CVA'!$AM$20)*1</f>
        <v>279.53272487868679</v>
      </c>
      <c r="AA62" s="6">
        <f>('TE BE'!$AB$10+'TE BF'!$AB$10+'TE CVA'!$AB$10)*1</f>
        <v>239.91115615602757</v>
      </c>
      <c r="AB62" s="6">
        <f>$K$62*$V$62</f>
        <v>0</v>
      </c>
      <c r="AC62" s="6">
        <f>$M$62*$W$62</f>
        <v>52885.966840000001</v>
      </c>
      <c r="AD62" s="6">
        <f>$O$62*$X$62</f>
        <v>57402.130660000003</v>
      </c>
      <c r="AE62" s="6">
        <f>$K$62*$Y$62</f>
        <v>0</v>
      </c>
      <c r="AF62" s="6">
        <f ca="1">$M$62*$Z$62</f>
        <v>66477.913565199546</v>
      </c>
      <c r="AG62" s="6">
        <f>$O$62*$AA$62</f>
        <v>57055.191334714167</v>
      </c>
    </row>
    <row r="63" spans="1:3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24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237.14400000000001</v>
      </c>
      <c r="M63" s="6">
        <v>237.14400000000001</v>
      </c>
      <c r="N63" s="6">
        <v>237.14400000000001</v>
      </c>
      <c r="O63" s="6">
        <v>237.14400000000001</v>
      </c>
      <c r="P63" s="6">
        <v>1029</v>
      </c>
      <c r="Q63" s="4" t="s">
        <v>26</v>
      </c>
      <c r="R63" s="4">
        <v>0</v>
      </c>
      <c r="S63" s="6">
        <v>0</v>
      </c>
      <c r="T63" s="6">
        <v>17</v>
      </c>
      <c r="U63" s="6">
        <v>52</v>
      </c>
      <c r="V63" s="6">
        <f>IF(ISERROR(VLOOKUP($S$63,'TAR FIN'!$A$1:$O$85,15,0)),0,VLOOKUP($S$63,'TAR FIN'!$A$1:$O$85,15,0))</f>
        <v>0</v>
      </c>
      <c r="W63" s="6">
        <f>IF(ISERROR(VLOOKUP($T$63,'TAR FIN'!$A$1:$O$85,15,0)),0,VLOOKUP($T$63,'TAR FIN'!$A$1:$O$85,15,0))</f>
        <v>222.38</v>
      </c>
      <c r="X63" s="6">
        <f>IF(ISERROR(VLOOKUP($U$63,'TAR FIN'!$A$1:$O$85,15,0)),0,VLOOKUP($U$63,'TAR FIN'!$A$1:$O$85,15,0))</f>
        <v>241.37</v>
      </c>
      <c r="Y63" s="6"/>
      <c r="Z63" s="6">
        <f ca="1">('TUSD BE'!$AM$20+'TUSD BF'!$AM$20+'TUSD CVA'!$AM$20)*1</f>
        <v>279.53272487868679</v>
      </c>
      <c r="AA63" s="6">
        <f>('TE BE'!$AB$10+'TE BF'!$AB$10+'TE CVA'!$AB$10)*1</f>
        <v>239.91115615602757</v>
      </c>
      <c r="AB63" s="6">
        <f>$K$63*$V$63</f>
        <v>0</v>
      </c>
      <c r="AC63" s="6">
        <f>$M$63*$W$63</f>
        <v>52736.082719999999</v>
      </c>
      <c r="AD63" s="6">
        <f>$O$63*$X$63</f>
        <v>57239.44728</v>
      </c>
      <c r="AE63" s="6">
        <f>$K$63*$Y$63</f>
        <v>0</v>
      </c>
      <c r="AF63" s="6">
        <f ca="1">$M$63*$Z$63</f>
        <v>66289.508508631305</v>
      </c>
      <c r="AG63" s="6">
        <f>$O$63*$AA$63</f>
        <v>56893.491215465001</v>
      </c>
    </row>
    <row r="64" spans="1:3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24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237.858</v>
      </c>
      <c r="M64" s="6">
        <v>237.858</v>
      </c>
      <c r="N64" s="6">
        <v>237.858</v>
      </c>
      <c r="O64" s="6">
        <v>237.858</v>
      </c>
      <c r="P64" s="6">
        <v>1032</v>
      </c>
      <c r="Q64" s="4" t="s">
        <v>26</v>
      </c>
      <c r="R64" s="4">
        <v>0</v>
      </c>
      <c r="S64" s="6">
        <v>0</v>
      </c>
      <c r="T64" s="6">
        <v>17</v>
      </c>
      <c r="U64" s="6">
        <v>52</v>
      </c>
      <c r="V64" s="6">
        <f>IF(ISERROR(VLOOKUP($S$64,'TAR FIN'!$A$1:$O$85,15,0)),0,VLOOKUP($S$64,'TAR FIN'!$A$1:$O$85,15,0))</f>
        <v>0</v>
      </c>
      <c r="W64" s="6">
        <f>IF(ISERROR(VLOOKUP($T$64,'TAR FIN'!$A$1:$O$85,15,0)),0,VLOOKUP($T$64,'TAR FIN'!$A$1:$O$85,15,0))</f>
        <v>222.38</v>
      </c>
      <c r="X64" s="6">
        <f>IF(ISERROR(VLOOKUP($U$64,'TAR FIN'!$A$1:$O$85,15,0)),0,VLOOKUP($U$64,'TAR FIN'!$A$1:$O$85,15,0))</f>
        <v>241.37</v>
      </c>
      <c r="Y64" s="6"/>
      <c r="Z64" s="6">
        <f ca="1">('TUSD BE'!$AM$20+'TUSD BF'!$AM$20+'TUSD CVA'!$AM$20)*1</f>
        <v>279.53272487868679</v>
      </c>
      <c r="AA64" s="6">
        <f>('TE BE'!$AB$10+'TE BF'!$AB$10+'TE CVA'!$AB$10)*1</f>
        <v>239.91115615602757</v>
      </c>
      <c r="AB64" s="6">
        <f>$K$64*$V$64</f>
        <v>0</v>
      </c>
      <c r="AC64" s="6">
        <f>$M$64*$W$64</f>
        <v>52894.86204</v>
      </c>
      <c r="AD64" s="6">
        <f>$O$64*$X$64</f>
        <v>57411.785459999999</v>
      </c>
      <c r="AE64" s="6">
        <f>$K$64*$Y$64</f>
        <v>0</v>
      </c>
      <c r="AF64" s="6">
        <f ca="1">$M$64*$Z$64</f>
        <v>66489.094874194678</v>
      </c>
      <c r="AG64" s="6">
        <f>$O$64*$AA$64</f>
        <v>57064.787780960411</v>
      </c>
    </row>
    <row r="65" spans="1:3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240.846</v>
      </c>
      <c r="M65" s="6">
        <v>240.846</v>
      </c>
      <c r="N65" s="6">
        <v>240.846</v>
      </c>
      <c r="O65" s="6">
        <v>240.846</v>
      </c>
      <c r="P65" s="6">
        <v>1037</v>
      </c>
      <c r="Q65" s="4" t="s">
        <v>26</v>
      </c>
      <c r="R65" s="4">
        <v>0</v>
      </c>
      <c r="S65" s="6">
        <v>0</v>
      </c>
      <c r="T65" s="6">
        <v>17</v>
      </c>
      <c r="U65" s="6">
        <v>52</v>
      </c>
      <c r="V65" s="6">
        <f>IF(ISERROR(VLOOKUP($S$65,'TAR FIN'!$A$1:$O$85,15,0)),0,VLOOKUP($S$65,'TAR FIN'!$A$1:$O$85,15,0))</f>
        <v>0</v>
      </c>
      <c r="W65" s="6">
        <f>IF(ISERROR(VLOOKUP($T$65,'TAR FIN'!$A$1:$O$85,15,0)),0,VLOOKUP($T$65,'TAR FIN'!$A$1:$O$85,15,0))</f>
        <v>222.38</v>
      </c>
      <c r="X65" s="6">
        <f>IF(ISERROR(VLOOKUP($U$65,'TAR FIN'!$A$1:$O$85,15,0)),0,VLOOKUP($U$65,'TAR FIN'!$A$1:$O$85,15,0))</f>
        <v>241.37</v>
      </c>
      <c r="Y65" s="6"/>
      <c r="Z65" s="6">
        <f ca="1">('TUSD BE'!$AM$20+'TUSD BF'!$AM$20+'TUSD CVA'!$AM$20)*1</f>
        <v>279.53272487868679</v>
      </c>
      <c r="AA65" s="6">
        <f>('TE BE'!$AB$10+'TE BF'!$AB$10+'TE CVA'!$AB$10)*1</f>
        <v>239.91115615602757</v>
      </c>
      <c r="AB65" s="6">
        <f>$K$65*$V$65</f>
        <v>0</v>
      </c>
      <c r="AC65" s="6">
        <f>$M$65*$W$65</f>
        <v>53559.333480000001</v>
      </c>
      <c r="AD65" s="6">
        <f>$O$65*$X$65</f>
        <v>58132.999020000003</v>
      </c>
      <c r="AE65" s="6">
        <f>$K$65*$Y$65</f>
        <v>0</v>
      </c>
      <c r="AF65" s="6">
        <f ca="1">$M$65*$Z$65</f>
        <v>67324.338656132197</v>
      </c>
      <c r="AG65" s="6">
        <f>$O$65*$AA$65</f>
        <v>57781.642315554614</v>
      </c>
    </row>
    <row r="66" spans="1:3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274.649</v>
      </c>
      <c r="M66" s="6">
        <v>274.649</v>
      </c>
      <c r="N66" s="6">
        <v>274.649</v>
      </c>
      <c r="O66" s="6">
        <v>274.649</v>
      </c>
      <c r="P66" s="6">
        <v>1038</v>
      </c>
      <c r="Q66" s="4" t="s">
        <v>26</v>
      </c>
      <c r="R66" s="4">
        <v>0</v>
      </c>
      <c r="S66" s="6">
        <v>0</v>
      </c>
      <c r="T66" s="6">
        <v>17</v>
      </c>
      <c r="U66" s="6">
        <v>52</v>
      </c>
      <c r="V66" s="6">
        <f>IF(ISERROR(VLOOKUP($S$66,'TAR FIN'!$A$1:$O$85,15,0)),0,VLOOKUP($S$66,'TAR FIN'!$A$1:$O$85,15,0))</f>
        <v>0</v>
      </c>
      <c r="W66" s="6">
        <f>IF(ISERROR(VLOOKUP($T$66,'TAR FIN'!$A$1:$O$85,15,0)),0,VLOOKUP($T$66,'TAR FIN'!$A$1:$O$85,15,0))</f>
        <v>222.38</v>
      </c>
      <c r="X66" s="6">
        <f>IF(ISERROR(VLOOKUP($U$66,'TAR FIN'!$A$1:$O$85,15,0)),0,VLOOKUP($U$66,'TAR FIN'!$A$1:$O$85,15,0))</f>
        <v>241.37</v>
      </c>
      <c r="Y66" s="6"/>
      <c r="Z66" s="6">
        <f ca="1">('TUSD BE'!$AM$20+'TUSD BF'!$AM$20+'TUSD CVA'!$AM$20)*1</f>
        <v>279.53272487868679</v>
      </c>
      <c r="AA66" s="6">
        <f>('TE BE'!$AB$10+'TE BF'!$AB$10+'TE CVA'!$AB$10)*1</f>
        <v>239.91115615602757</v>
      </c>
      <c r="AB66" s="6">
        <f>$K$66*$V$66</f>
        <v>0</v>
      </c>
      <c r="AC66" s="6">
        <f>$M$66*$W$66</f>
        <v>61076.444620000002</v>
      </c>
      <c r="AD66" s="6">
        <f>$O$66*$X$66</f>
        <v>66292.029129999995</v>
      </c>
      <c r="AE66" s="6">
        <f>$K$66*$Y$66</f>
        <v>0</v>
      </c>
      <c r="AF66" s="6">
        <f ca="1">$M$66*$Z$66</f>
        <v>76773.383355206446</v>
      </c>
      <c r="AG66" s="6">
        <f>$O$66*$AA$66</f>
        <v>65891.359127096817</v>
      </c>
    </row>
    <row r="67" spans="1:33" ht="11.25" customHeight="1" x14ac:dyDescent="0.25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277.30799999999999</v>
      </c>
      <c r="M67" s="6">
        <v>277.30799999999999</v>
      </c>
      <c r="N67" s="6">
        <v>277.30799999999999</v>
      </c>
      <c r="O67" s="6">
        <v>277.30799999999999</v>
      </c>
      <c r="P67" s="6">
        <v>1040</v>
      </c>
      <c r="Q67" s="4" t="s">
        <v>26</v>
      </c>
      <c r="R67" s="4">
        <v>0</v>
      </c>
      <c r="S67" s="6">
        <v>0</v>
      </c>
      <c r="T67" s="6">
        <v>17</v>
      </c>
      <c r="U67" s="6">
        <v>52</v>
      </c>
      <c r="V67" s="6">
        <f>IF(ISERROR(VLOOKUP($S$67,'TAR FIN'!$A$1:$O$85,15,0)),0,VLOOKUP($S$67,'TAR FIN'!$A$1:$O$85,15,0))</f>
        <v>0</v>
      </c>
      <c r="W67" s="6">
        <f>IF(ISERROR(VLOOKUP($T$67,'TAR FIN'!$A$1:$O$85,15,0)),0,VLOOKUP($T$67,'TAR FIN'!$A$1:$O$85,15,0))</f>
        <v>222.38</v>
      </c>
      <c r="X67" s="6">
        <f>IF(ISERROR(VLOOKUP($U$67,'TAR FIN'!$A$1:$O$85,15,0)),0,VLOOKUP($U$67,'TAR FIN'!$A$1:$O$85,15,0))</f>
        <v>241.37</v>
      </c>
      <c r="Y67" s="6"/>
      <c r="Z67" s="6">
        <f ca="1">('TUSD BE'!$AM$20+'TUSD BF'!$AM$20+'TUSD CVA'!$AM$20)*1</f>
        <v>279.53272487868679</v>
      </c>
      <c r="AA67" s="6">
        <f>('TE BE'!$AB$10+'TE BF'!$AB$10+'TE CVA'!$AB$10)*1</f>
        <v>239.91115615602757</v>
      </c>
      <c r="AB67" s="6">
        <f>$K$67*$V$67</f>
        <v>0</v>
      </c>
      <c r="AC67" s="6">
        <f>$M$67*$W$67</f>
        <v>61667.753039999996</v>
      </c>
      <c r="AD67" s="6">
        <f>$O$67*$X$67</f>
        <v>66933.831959999996</v>
      </c>
      <c r="AE67" s="6">
        <f>$K$67*$Y$67</f>
        <v>0</v>
      </c>
      <c r="AF67" s="6">
        <f ca="1">$M$67*$Z$67</f>
        <v>77516.660870658874</v>
      </c>
      <c r="AG67" s="6">
        <f>$O$67*$AA$67</f>
        <v>66529.282891315699</v>
      </c>
    </row>
    <row r="68" spans="1:33" ht="11.25" customHeight="1" x14ac:dyDescent="0.25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252.50700000000001</v>
      </c>
      <c r="M68" s="6">
        <v>252.50700000000001</v>
      </c>
      <c r="N68" s="6">
        <v>252.50700000000001</v>
      </c>
      <c r="O68" s="6">
        <v>252.50700000000001</v>
      </c>
      <c r="P68" s="6">
        <v>1046</v>
      </c>
      <c r="Q68" s="4" t="s">
        <v>26</v>
      </c>
      <c r="R68" s="4">
        <v>0</v>
      </c>
      <c r="S68" s="6">
        <v>0</v>
      </c>
      <c r="T68" s="6">
        <v>17</v>
      </c>
      <c r="U68" s="6">
        <v>52</v>
      </c>
      <c r="V68" s="6">
        <f>IF(ISERROR(VLOOKUP($S$68,'TAR FIN'!$A$1:$O$85,15,0)),0,VLOOKUP($S$68,'TAR FIN'!$A$1:$O$85,15,0))</f>
        <v>0</v>
      </c>
      <c r="W68" s="6">
        <f>IF(ISERROR(VLOOKUP($T$68,'TAR FIN'!$A$1:$O$85,15,0)),0,VLOOKUP($T$68,'TAR FIN'!$A$1:$O$85,15,0))</f>
        <v>222.38</v>
      </c>
      <c r="X68" s="6">
        <f>IF(ISERROR(VLOOKUP($U$68,'TAR FIN'!$A$1:$O$85,15,0)),0,VLOOKUP($U$68,'TAR FIN'!$A$1:$O$85,15,0))</f>
        <v>241.37</v>
      </c>
      <c r="Y68" s="6"/>
      <c r="Z68" s="6">
        <f ca="1">('TUSD BE'!$AM$20+'TUSD BF'!$AM$20+'TUSD CVA'!$AM$20)*1</f>
        <v>279.53272487868679</v>
      </c>
      <c r="AA68" s="6">
        <f>('TE BE'!$AB$10+'TE BF'!$AB$10+'TE CVA'!$AB$10)*1</f>
        <v>239.91115615602757</v>
      </c>
      <c r="AB68" s="6">
        <f>$K$68*$V$68</f>
        <v>0</v>
      </c>
      <c r="AC68" s="6">
        <f>$M$68*$W$68</f>
        <v>56152.506659999999</v>
      </c>
      <c r="AD68" s="6">
        <f>$O$68*$X$68</f>
        <v>60947.614590000005</v>
      </c>
      <c r="AE68" s="6">
        <f>$K$68*$Y$68</f>
        <v>0</v>
      </c>
      <c r="AF68" s="6">
        <f ca="1">$M$68*$Z$68</f>
        <v>70583.969760942564</v>
      </c>
      <c r="AG68" s="6">
        <f>$O$68*$AA$68</f>
        <v>60579.246307490059</v>
      </c>
    </row>
    <row r="69" spans="1:33" ht="11.25" customHeight="1" x14ac:dyDescent="0.25">
      <c r="A69" s="4" t="s">
        <v>21</v>
      </c>
      <c r="B69" s="4" t="s">
        <v>22</v>
      </c>
      <c r="C69" s="4" t="s">
        <v>23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25</v>
      </c>
      <c r="I69" s="5">
        <v>44652</v>
      </c>
      <c r="J69" s="6">
        <v>0</v>
      </c>
      <c r="K69" s="6">
        <v>0</v>
      </c>
      <c r="L69" s="6">
        <v>259.29199999999997</v>
      </c>
      <c r="M69" s="6">
        <v>259.29199999999997</v>
      </c>
      <c r="N69" s="6">
        <v>259.29199999999997</v>
      </c>
      <c r="O69" s="6">
        <v>259.29199999999997</v>
      </c>
      <c r="P69" s="6">
        <v>1052</v>
      </c>
      <c r="Q69" s="4" t="s">
        <v>26</v>
      </c>
      <c r="R69" s="4">
        <v>0</v>
      </c>
      <c r="S69" s="6">
        <v>0</v>
      </c>
      <c r="T69" s="6">
        <v>17</v>
      </c>
      <c r="U69" s="6">
        <v>52</v>
      </c>
      <c r="V69" s="6">
        <f>IF(ISERROR(VLOOKUP($S$69,'TAR FIN'!$A$1:$O$85,15,0)),0,VLOOKUP($S$69,'TAR FIN'!$A$1:$O$85,15,0))</f>
        <v>0</v>
      </c>
      <c r="W69" s="6">
        <f>IF(ISERROR(VLOOKUP($T$69,'TAR FIN'!$A$1:$O$85,15,0)),0,VLOOKUP($T$69,'TAR FIN'!$A$1:$O$85,15,0))</f>
        <v>222.38</v>
      </c>
      <c r="X69" s="6">
        <f>IF(ISERROR(VLOOKUP($U$69,'TAR FIN'!$A$1:$O$85,15,0)),0,VLOOKUP($U$69,'TAR FIN'!$A$1:$O$85,15,0))</f>
        <v>241.37</v>
      </c>
      <c r="Y69" s="6"/>
      <c r="Z69" s="6">
        <f ca="1">('TUSD BE'!$AM$20+'TUSD BF'!$AM$20+'TUSD CVA'!$AM$20)*1</f>
        <v>279.53272487868679</v>
      </c>
      <c r="AA69" s="6">
        <f>('TE BE'!$AB$10+'TE BF'!$AB$10+'TE CVA'!$AB$10)*1</f>
        <v>239.91115615602757</v>
      </c>
      <c r="AB69" s="6">
        <f>$K$69*$V$69</f>
        <v>0</v>
      </c>
      <c r="AC69" s="6">
        <f>$M$69*$W$69</f>
        <v>57661.35495999999</v>
      </c>
      <c r="AD69" s="6">
        <f>$O$69*$X$69</f>
        <v>62585.310039999997</v>
      </c>
      <c r="AE69" s="6">
        <f>$K$69*$Y$69</f>
        <v>0</v>
      </c>
      <c r="AF69" s="6">
        <f ca="1">$M$69*$Z$69</f>
        <v>72480.599299244452</v>
      </c>
      <c r="AG69" s="6">
        <f>$O$69*$AA$69</f>
        <v>62207.043502008695</v>
      </c>
    </row>
    <row r="70" spans="1:33" ht="11.25" customHeight="1" x14ac:dyDescent="0.25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25</v>
      </c>
      <c r="I70" s="5">
        <v>44682</v>
      </c>
      <c r="J70" s="6">
        <v>0</v>
      </c>
      <c r="K70" s="6">
        <v>0</v>
      </c>
      <c r="L70" s="6">
        <v>229.471</v>
      </c>
      <c r="M70" s="6">
        <v>229.471</v>
      </c>
      <c r="N70" s="6">
        <v>229.471</v>
      </c>
      <c r="O70" s="6">
        <v>229.471</v>
      </c>
      <c r="P70" s="6">
        <v>1043</v>
      </c>
      <c r="Q70" s="4" t="s">
        <v>26</v>
      </c>
      <c r="R70" s="4">
        <v>0</v>
      </c>
      <c r="S70" s="6">
        <v>0</v>
      </c>
      <c r="T70" s="6">
        <v>17</v>
      </c>
      <c r="U70" s="6">
        <v>52</v>
      </c>
      <c r="V70" s="6">
        <f>IF(ISERROR(VLOOKUP($S$70,'TAR FIN'!$A$1:$O$85,15,0)),0,VLOOKUP($S$70,'TAR FIN'!$A$1:$O$85,15,0))</f>
        <v>0</v>
      </c>
      <c r="W70" s="6">
        <f>IF(ISERROR(VLOOKUP($T$70,'TAR FIN'!$A$1:$O$85,15,0)),0,VLOOKUP($T$70,'TAR FIN'!$A$1:$O$85,15,0))</f>
        <v>222.38</v>
      </c>
      <c r="X70" s="6">
        <f>IF(ISERROR(VLOOKUP($U$70,'TAR FIN'!$A$1:$O$85,15,0)),0,VLOOKUP($U$70,'TAR FIN'!$A$1:$O$85,15,0))</f>
        <v>241.37</v>
      </c>
      <c r="Y70" s="6"/>
      <c r="Z70" s="6">
        <f ca="1">('TUSD BE'!$AM$20+'TUSD BF'!$AM$20+'TUSD CVA'!$AM$20)*1</f>
        <v>279.53272487868679</v>
      </c>
      <c r="AA70" s="6">
        <f>('TE BE'!$AB$10+'TE BF'!$AB$10+'TE CVA'!$AB$10)*1</f>
        <v>239.91115615602757</v>
      </c>
      <c r="AB70" s="6">
        <f>$K$70*$V$70</f>
        <v>0</v>
      </c>
      <c r="AC70" s="6">
        <f>$M$70*$W$70</f>
        <v>51029.760979999999</v>
      </c>
      <c r="AD70" s="6">
        <f>$O$70*$X$70</f>
        <v>55387.415270000005</v>
      </c>
      <c r="AE70" s="6">
        <f>$K$70*$Y$70</f>
        <v>0</v>
      </c>
      <c r="AF70" s="6">
        <f ca="1">$M$70*$Z$70</f>
        <v>64144.653910637135</v>
      </c>
      <c r="AG70" s="6">
        <f>$O$70*$AA$70</f>
        <v>55052.652914279803</v>
      </c>
    </row>
    <row r="71" spans="1:33" ht="11.25" customHeight="1" x14ac:dyDescent="0.25">
      <c r="A71" s="4" t="s">
        <v>21</v>
      </c>
      <c r="B71" s="4" t="s">
        <v>22</v>
      </c>
      <c r="C71" s="4" t="s">
        <v>23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25</v>
      </c>
      <c r="I71" s="5">
        <v>44713</v>
      </c>
      <c r="J71" s="6">
        <v>0</v>
      </c>
      <c r="K71" s="6">
        <v>0</v>
      </c>
      <c r="L71" s="6">
        <v>237.602</v>
      </c>
      <c r="M71" s="6">
        <v>237.602</v>
      </c>
      <c r="N71" s="6">
        <v>237.602</v>
      </c>
      <c r="O71" s="6">
        <v>237.602</v>
      </c>
      <c r="P71" s="6">
        <v>1042</v>
      </c>
      <c r="Q71" s="4" t="s">
        <v>26</v>
      </c>
      <c r="R71" s="4">
        <v>0</v>
      </c>
      <c r="S71" s="6">
        <v>0</v>
      </c>
      <c r="T71" s="6">
        <v>17</v>
      </c>
      <c r="U71" s="6">
        <v>52</v>
      </c>
      <c r="V71" s="6">
        <f>IF(ISERROR(VLOOKUP($S$71,'TAR FIN'!$A$1:$O$85,15,0)),0,VLOOKUP($S$71,'TAR FIN'!$A$1:$O$85,15,0))</f>
        <v>0</v>
      </c>
      <c r="W71" s="6">
        <f>IF(ISERROR(VLOOKUP($T$71,'TAR FIN'!$A$1:$O$85,15,0)),0,VLOOKUP($T$71,'TAR FIN'!$A$1:$O$85,15,0))</f>
        <v>222.38</v>
      </c>
      <c r="X71" s="6">
        <f>IF(ISERROR(VLOOKUP($U$71,'TAR FIN'!$A$1:$O$85,15,0)),0,VLOOKUP($U$71,'TAR FIN'!$A$1:$O$85,15,0))</f>
        <v>241.37</v>
      </c>
      <c r="Y71" s="6"/>
      <c r="Z71" s="6">
        <f ca="1">('TUSD BE'!$AM$20+'TUSD BF'!$AM$20+'TUSD CVA'!$AM$20)*1</f>
        <v>279.53272487868679</v>
      </c>
      <c r="AA71" s="6">
        <f>('TE BE'!$AB$10+'TE BF'!$AB$10+'TE CVA'!$AB$10)*1</f>
        <v>239.91115615602757</v>
      </c>
      <c r="AB71" s="6">
        <f>$K$71*$V$71</f>
        <v>0</v>
      </c>
      <c r="AC71" s="6">
        <f>$M$71*$W$71</f>
        <v>52837.932760000003</v>
      </c>
      <c r="AD71" s="6">
        <f>$O$71*$X$71</f>
        <v>57349.994740000002</v>
      </c>
      <c r="AE71" s="6">
        <f>$K$71*$Y$71</f>
        <v>0</v>
      </c>
      <c r="AF71" s="6">
        <f ca="1">$M$71*$Z$71</f>
        <v>66417.53449662574</v>
      </c>
      <c r="AG71" s="6">
        <f>$O$71*$AA$71</f>
        <v>57003.370524984464</v>
      </c>
    </row>
    <row r="72" spans="1:33" ht="11.25" customHeight="1" x14ac:dyDescent="0.25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25</v>
      </c>
      <c r="I72" s="5">
        <v>44743</v>
      </c>
      <c r="J72" s="6">
        <v>0</v>
      </c>
      <c r="K72" s="6">
        <v>0</v>
      </c>
      <c r="L72" s="6">
        <v>238.339</v>
      </c>
      <c r="M72" s="6">
        <v>238.339</v>
      </c>
      <c r="N72" s="6">
        <v>238.339</v>
      </c>
      <c r="O72" s="6">
        <v>238.339</v>
      </c>
      <c r="P72" s="6">
        <v>1042</v>
      </c>
      <c r="Q72" s="4" t="s">
        <v>26</v>
      </c>
      <c r="R72" s="4">
        <v>0</v>
      </c>
      <c r="S72" s="6">
        <v>0</v>
      </c>
      <c r="T72" s="6">
        <v>17</v>
      </c>
      <c r="U72" s="6">
        <v>52</v>
      </c>
      <c r="V72" s="6">
        <f>IF(ISERROR(VLOOKUP($S$72,'TAR FIN'!$A$1:$O$85,15,0)),0,VLOOKUP($S$72,'TAR FIN'!$A$1:$O$85,15,0))</f>
        <v>0</v>
      </c>
      <c r="W72" s="6">
        <f>IF(ISERROR(VLOOKUP($T$72,'TAR FIN'!$A$1:$O$85,15,0)),0,VLOOKUP($T$72,'TAR FIN'!$A$1:$O$85,15,0))</f>
        <v>222.38</v>
      </c>
      <c r="X72" s="6">
        <f>IF(ISERROR(VLOOKUP($U$72,'TAR FIN'!$A$1:$O$85,15,0)),0,VLOOKUP($U$72,'TAR FIN'!$A$1:$O$85,15,0))</f>
        <v>241.37</v>
      </c>
      <c r="Y72" s="6"/>
      <c r="Z72" s="6">
        <f ca="1">('TUSD BE'!$AM$20+'TUSD BF'!$AM$20+'TUSD CVA'!$AM$20)*1</f>
        <v>279.53272487868679</v>
      </c>
      <c r="AA72" s="6">
        <f>('TE BE'!$AB$10+'TE BF'!$AB$10+'TE CVA'!$AB$10)*1</f>
        <v>239.91115615602757</v>
      </c>
      <c r="AB72" s="6">
        <f>$K$72*$V$72</f>
        <v>0</v>
      </c>
      <c r="AC72" s="6">
        <f>$M$72*$W$72</f>
        <v>53001.826820000002</v>
      </c>
      <c r="AD72" s="6">
        <f>$O$72*$X$72</f>
        <v>57527.884429999998</v>
      </c>
      <c r="AE72" s="6">
        <f>$K$72*$Y$72</f>
        <v>0</v>
      </c>
      <c r="AF72" s="6">
        <f ca="1">$M$72*$Z$72</f>
        <v>66623.550114861326</v>
      </c>
      <c r="AG72" s="6">
        <f>$O$72*$AA$72</f>
        <v>57180.185047071456</v>
      </c>
    </row>
    <row r="73" spans="1:33" ht="11.25" customHeight="1" x14ac:dyDescent="0.25">
      <c r="A73" s="4" t="s">
        <v>21</v>
      </c>
      <c r="B73" s="4" t="s">
        <v>22</v>
      </c>
      <c r="C73" s="4" t="s">
        <v>23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25</v>
      </c>
      <c r="I73" s="5">
        <v>44774</v>
      </c>
      <c r="J73" s="6">
        <v>0</v>
      </c>
      <c r="K73" s="6">
        <v>0</v>
      </c>
      <c r="L73" s="6">
        <v>245.88</v>
      </c>
      <c r="M73" s="6">
        <v>245.88</v>
      </c>
      <c r="N73" s="6">
        <v>245.88</v>
      </c>
      <c r="O73" s="6">
        <v>245.88</v>
      </c>
      <c r="P73" s="6">
        <v>1041</v>
      </c>
      <c r="Q73" s="4" t="s">
        <v>26</v>
      </c>
      <c r="R73" s="4">
        <v>0</v>
      </c>
      <c r="S73" s="6">
        <v>0</v>
      </c>
      <c r="T73" s="6">
        <v>17</v>
      </c>
      <c r="U73" s="6">
        <v>52</v>
      </c>
      <c r="V73" s="6">
        <f>IF(ISERROR(VLOOKUP($S$73,'TAR FIN'!$A$1:$O$85,15,0)),0,VLOOKUP($S$73,'TAR FIN'!$A$1:$O$85,15,0))</f>
        <v>0</v>
      </c>
      <c r="W73" s="6">
        <f>IF(ISERROR(VLOOKUP($T$73,'TAR FIN'!$A$1:$O$85,15,0)),0,VLOOKUP($T$73,'TAR FIN'!$A$1:$O$85,15,0))</f>
        <v>222.38</v>
      </c>
      <c r="X73" s="6">
        <f>IF(ISERROR(VLOOKUP($U$73,'TAR FIN'!$A$1:$O$85,15,0)),0,VLOOKUP($U$73,'TAR FIN'!$A$1:$O$85,15,0))</f>
        <v>241.37</v>
      </c>
      <c r="Y73" s="6"/>
      <c r="Z73" s="6">
        <f ca="1">('TUSD BE'!$AM$20+'TUSD BF'!$AM$20+'TUSD CVA'!$AM$20)*1</f>
        <v>279.53272487868679</v>
      </c>
      <c r="AA73" s="6">
        <f>('TE BE'!$AB$10+'TE BF'!$AB$10+'TE CVA'!$AB$10)*1</f>
        <v>239.91115615602757</v>
      </c>
      <c r="AB73" s="6">
        <f>$K$73*$V$73</f>
        <v>0</v>
      </c>
      <c r="AC73" s="6">
        <f>$M$73*$W$73</f>
        <v>54678.794399999999</v>
      </c>
      <c r="AD73" s="6">
        <f>$O$73*$X$73</f>
        <v>59348.0556</v>
      </c>
      <c r="AE73" s="6">
        <f>$K$73*$Y$73</f>
        <v>0</v>
      </c>
      <c r="AF73" s="6">
        <f ca="1">$M$73*$Z$73</f>
        <v>68731.506393171512</v>
      </c>
      <c r="AG73" s="6">
        <f>$O$73*$AA$73</f>
        <v>58989.35507564406</v>
      </c>
    </row>
    <row r="74" spans="1:33" ht="11.25" customHeight="1" x14ac:dyDescent="0.25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27</v>
      </c>
      <c r="F74" s="4" t="s">
        <v>25</v>
      </c>
      <c r="G74" s="4" t="s">
        <v>25</v>
      </c>
      <c r="H74" s="4" t="s">
        <v>25</v>
      </c>
      <c r="I74" s="5">
        <v>44440</v>
      </c>
      <c r="J74" s="6">
        <v>0</v>
      </c>
      <c r="K74" s="6">
        <v>0</v>
      </c>
      <c r="L74" s="6">
        <v>0.06</v>
      </c>
      <c r="M74" s="6">
        <v>0.06</v>
      </c>
      <c r="N74" s="6">
        <v>0.06</v>
      </c>
      <c r="O74" s="6">
        <v>0.06</v>
      </c>
      <c r="P74" s="6">
        <v>0</v>
      </c>
      <c r="Q74" s="4" t="s">
        <v>26</v>
      </c>
      <c r="R74" s="4">
        <v>0</v>
      </c>
      <c r="S74" s="6">
        <v>0</v>
      </c>
      <c r="T74" s="6">
        <v>4</v>
      </c>
      <c r="U74" s="6">
        <v>54</v>
      </c>
      <c r="V74" s="6">
        <f>IF(ISERROR(VLOOKUP($S$74,'TAR FIN'!$A$1:$O$85,15,0)),0,VLOOKUP($S$74,'TAR FIN'!$A$1:$O$85,15,0))</f>
        <v>0</v>
      </c>
      <c r="W74" s="6">
        <f>IF(ISERROR(VLOOKUP($T$74,'TAR FIN'!$A$1:$O$85,15,0)),0,VLOOKUP($T$74,'TAR FIN'!$A$1:$O$85,15,0))</f>
        <v>55.3</v>
      </c>
      <c r="X74" s="6">
        <f>IF(ISERROR(VLOOKUP($U$74,'TAR FIN'!$A$1:$O$85,15,0)),0,VLOOKUP($U$74,'TAR FIN'!$A$1:$O$85,15,0))</f>
        <v>84.48</v>
      </c>
      <c r="Y74" s="6"/>
      <c r="Z74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4" s="6">
        <f>('TE BE'!$AB$11+'TE BF'!$AB$11+'TE CVA'!$AB$11)*(1-CUSTOS!$M$34)</f>
        <v>83.968904654609645</v>
      </c>
      <c r="AB74" s="6">
        <f>$K$74*$V$74</f>
        <v>0</v>
      </c>
      <c r="AC74" s="6">
        <f>$M$74*$W$74</f>
        <v>3.3179999999999996</v>
      </c>
      <c r="AD74" s="6">
        <f>$O$74*$X$74</f>
        <v>5.0688000000000004</v>
      </c>
      <c r="AE74" s="6">
        <f>$K$74*$Y$74</f>
        <v>0</v>
      </c>
      <c r="AF74" s="6">
        <f ca="1">$M$74*$Z$74</f>
        <v>3.7661867911971951</v>
      </c>
      <c r="AG74" s="6">
        <f>$O$74*$AA$74</f>
        <v>5.0381342792765782</v>
      </c>
    </row>
    <row r="75" spans="1:33" ht="11.25" customHeight="1" x14ac:dyDescent="0.25">
      <c r="A75" s="4" t="s">
        <v>21</v>
      </c>
      <c r="B75" s="4" t="s">
        <v>22</v>
      </c>
      <c r="C75" s="4" t="s">
        <v>23</v>
      </c>
      <c r="D75" s="4" t="s">
        <v>24</v>
      </c>
      <c r="E75" s="4" t="s">
        <v>27</v>
      </c>
      <c r="F75" s="4" t="s">
        <v>25</v>
      </c>
      <c r="G75" s="4" t="s">
        <v>25</v>
      </c>
      <c r="H75" s="4" t="s">
        <v>25</v>
      </c>
      <c r="I75" s="5">
        <v>44470</v>
      </c>
      <c r="J75" s="6">
        <v>0</v>
      </c>
      <c r="K75" s="6">
        <v>0</v>
      </c>
      <c r="L75" s="6">
        <v>0.189</v>
      </c>
      <c r="M75" s="6">
        <v>0.189</v>
      </c>
      <c r="N75" s="6">
        <v>0.189</v>
      </c>
      <c r="O75" s="6">
        <v>0.189</v>
      </c>
      <c r="P75" s="6">
        <v>1</v>
      </c>
      <c r="Q75" s="4" t="s">
        <v>26</v>
      </c>
      <c r="R75" s="4">
        <v>0</v>
      </c>
      <c r="S75" s="6">
        <v>0</v>
      </c>
      <c r="T75" s="6">
        <v>4</v>
      </c>
      <c r="U75" s="6">
        <v>54</v>
      </c>
      <c r="V75" s="6">
        <f>IF(ISERROR(VLOOKUP($S$75,'TAR FIN'!$A$1:$O$85,15,0)),0,VLOOKUP($S$75,'TAR FIN'!$A$1:$O$85,15,0))</f>
        <v>0</v>
      </c>
      <c r="W75" s="6">
        <f>IF(ISERROR(VLOOKUP($T$75,'TAR FIN'!$A$1:$O$85,15,0)),0,VLOOKUP($T$75,'TAR FIN'!$A$1:$O$85,15,0))</f>
        <v>55.3</v>
      </c>
      <c r="X75" s="6">
        <f>IF(ISERROR(VLOOKUP($U$75,'TAR FIN'!$A$1:$O$85,15,0)),0,VLOOKUP($U$75,'TAR FIN'!$A$1:$O$85,15,0))</f>
        <v>84.48</v>
      </c>
      <c r="Y75" s="6"/>
      <c r="Z75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5" s="6">
        <f>('TE BE'!$AB$11+'TE BF'!$AB$11+'TE CVA'!$AB$11)*(1-CUSTOS!$M$34)</f>
        <v>83.968904654609645</v>
      </c>
      <c r="AB75" s="6">
        <f>$K$75*$V$75</f>
        <v>0</v>
      </c>
      <c r="AC75" s="6">
        <f>$M$75*$W$75</f>
        <v>10.451699999999999</v>
      </c>
      <c r="AD75" s="6">
        <f>$O$75*$X$75</f>
        <v>15.96672</v>
      </c>
      <c r="AE75" s="6">
        <f>$K$75*$Y$75</f>
        <v>0</v>
      </c>
      <c r="AF75" s="6">
        <f ca="1">$M$75*$Z$75</f>
        <v>11.863488392271165</v>
      </c>
      <c r="AG75" s="6">
        <f>$O$75*$AA$75</f>
        <v>15.870122979721224</v>
      </c>
    </row>
    <row r="76" spans="1:33" ht="11.25" customHeight="1" x14ac:dyDescent="0.25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27</v>
      </c>
      <c r="F76" s="4" t="s">
        <v>25</v>
      </c>
      <c r="G76" s="4" t="s">
        <v>25</v>
      </c>
      <c r="H76" s="4" t="s">
        <v>25</v>
      </c>
      <c r="I76" s="5">
        <v>44501</v>
      </c>
      <c r="J76" s="6">
        <v>0</v>
      </c>
      <c r="K76" s="6">
        <v>0</v>
      </c>
      <c r="L76" s="6">
        <v>0.19400000000000001</v>
      </c>
      <c r="M76" s="6">
        <v>0.19400000000000001</v>
      </c>
      <c r="N76" s="6">
        <v>0.19400000000000001</v>
      </c>
      <c r="O76" s="6">
        <v>0.19400000000000001</v>
      </c>
      <c r="P76" s="6">
        <v>1</v>
      </c>
      <c r="Q76" s="4" t="s">
        <v>26</v>
      </c>
      <c r="R76" s="4">
        <v>0</v>
      </c>
      <c r="S76" s="6">
        <v>0</v>
      </c>
      <c r="T76" s="6">
        <v>4</v>
      </c>
      <c r="U76" s="6">
        <v>54</v>
      </c>
      <c r="V76" s="6">
        <f>IF(ISERROR(VLOOKUP($S$76,'TAR FIN'!$A$1:$O$85,15,0)),0,VLOOKUP($S$76,'TAR FIN'!$A$1:$O$85,15,0))</f>
        <v>0</v>
      </c>
      <c r="W76" s="6">
        <f>IF(ISERROR(VLOOKUP($T$76,'TAR FIN'!$A$1:$O$85,15,0)),0,VLOOKUP($T$76,'TAR FIN'!$A$1:$O$85,15,0))</f>
        <v>55.3</v>
      </c>
      <c r="X76" s="6">
        <f>IF(ISERROR(VLOOKUP($U$76,'TAR FIN'!$A$1:$O$85,15,0)),0,VLOOKUP($U$76,'TAR FIN'!$A$1:$O$85,15,0))</f>
        <v>84.48</v>
      </c>
      <c r="Y76" s="6"/>
      <c r="Z76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6" s="6">
        <f>('TE BE'!$AB$11+'TE BF'!$AB$11+'TE CVA'!$AB$11)*(1-CUSTOS!$M$34)</f>
        <v>83.968904654609645</v>
      </c>
      <c r="AB76" s="6">
        <f>$K$76*$V$76</f>
        <v>0</v>
      </c>
      <c r="AC76" s="6">
        <f>$M$76*$W$76</f>
        <v>10.728199999999999</v>
      </c>
      <c r="AD76" s="6">
        <f>$O$76*$X$76</f>
        <v>16.389120000000002</v>
      </c>
      <c r="AE76" s="6">
        <f>$K$76*$Y$76</f>
        <v>0</v>
      </c>
      <c r="AF76" s="6">
        <f ca="1">$M$76*$Z$76</f>
        <v>12.177337291537597</v>
      </c>
      <c r="AG76" s="6">
        <f>$O$76*$AA$76</f>
        <v>16.289967502994273</v>
      </c>
    </row>
    <row r="77" spans="1:33" ht="11.25" customHeight="1" x14ac:dyDescent="0.25">
      <c r="A77" s="4" t="s">
        <v>21</v>
      </c>
      <c r="B77" s="4" t="s">
        <v>22</v>
      </c>
      <c r="C77" s="4" t="s">
        <v>23</v>
      </c>
      <c r="D77" s="4" t="s">
        <v>24</v>
      </c>
      <c r="E77" s="4" t="s">
        <v>27</v>
      </c>
      <c r="F77" s="4" t="s">
        <v>25</v>
      </c>
      <c r="G77" s="4" t="s">
        <v>25</v>
      </c>
      <c r="H77" s="4" t="s">
        <v>25</v>
      </c>
      <c r="I77" s="5">
        <v>44531</v>
      </c>
      <c r="J77" s="6">
        <v>0</v>
      </c>
      <c r="K77" s="6">
        <v>0</v>
      </c>
      <c r="L77" s="6">
        <v>0.19400000000000001</v>
      </c>
      <c r="M77" s="6">
        <v>0.19400000000000001</v>
      </c>
      <c r="N77" s="6">
        <v>0.19400000000000001</v>
      </c>
      <c r="O77" s="6">
        <v>0.19400000000000001</v>
      </c>
      <c r="P77" s="6">
        <v>1</v>
      </c>
      <c r="Q77" s="4" t="s">
        <v>26</v>
      </c>
      <c r="R77" s="4">
        <v>0</v>
      </c>
      <c r="S77" s="6">
        <v>0</v>
      </c>
      <c r="T77" s="6">
        <v>4</v>
      </c>
      <c r="U77" s="6">
        <v>54</v>
      </c>
      <c r="V77" s="6">
        <f>IF(ISERROR(VLOOKUP($S$77,'TAR FIN'!$A$1:$O$85,15,0)),0,VLOOKUP($S$77,'TAR FIN'!$A$1:$O$85,15,0))</f>
        <v>0</v>
      </c>
      <c r="W77" s="6">
        <f>IF(ISERROR(VLOOKUP($T$77,'TAR FIN'!$A$1:$O$85,15,0)),0,VLOOKUP($T$77,'TAR FIN'!$A$1:$O$85,15,0))</f>
        <v>55.3</v>
      </c>
      <c r="X77" s="6">
        <f>IF(ISERROR(VLOOKUP($U$77,'TAR FIN'!$A$1:$O$85,15,0)),0,VLOOKUP($U$77,'TAR FIN'!$A$1:$O$85,15,0))</f>
        <v>84.48</v>
      </c>
      <c r="Y77" s="6"/>
      <c r="Z77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7" s="6">
        <f>('TE BE'!$AB$11+'TE BF'!$AB$11+'TE CVA'!$AB$11)*(1-CUSTOS!$M$34)</f>
        <v>83.968904654609645</v>
      </c>
      <c r="AB77" s="6">
        <f>$K$77*$V$77</f>
        <v>0</v>
      </c>
      <c r="AC77" s="6">
        <f>$M$77*$W$77</f>
        <v>10.728199999999999</v>
      </c>
      <c r="AD77" s="6">
        <f>$O$77*$X$77</f>
        <v>16.389120000000002</v>
      </c>
      <c r="AE77" s="6">
        <f>$K$77*$Y$77</f>
        <v>0</v>
      </c>
      <c r="AF77" s="6">
        <f ca="1">$M$77*$Z$77</f>
        <v>12.177337291537597</v>
      </c>
      <c r="AG77" s="6">
        <f>$O$77*$AA$77</f>
        <v>16.289967502994273</v>
      </c>
    </row>
    <row r="78" spans="1:33" ht="11.25" customHeight="1" x14ac:dyDescent="0.25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27</v>
      </c>
      <c r="F78" s="4" t="s">
        <v>25</v>
      </c>
      <c r="G78" s="4" t="s">
        <v>25</v>
      </c>
      <c r="H78" s="4" t="s">
        <v>25</v>
      </c>
      <c r="I78" s="5">
        <v>44562</v>
      </c>
      <c r="J78" s="6">
        <v>0</v>
      </c>
      <c r="K78" s="6">
        <v>0</v>
      </c>
      <c r="L78" s="6">
        <v>0.19600000000000001</v>
      </c>
      <c r="M78" s="6">
        <v>0.19600000000000001</v>
      </c>
      <c r="N78" s="6">
        <v>0.19600000000000001</v>
      </c>
      <c r="O78" s="6">
        <v>0.19600000000000001</v>
      </c>
      <c r="P78" s="6">
        <v>1</v>
      </c>
      <c r="Q78" s="4" t="s">
        <v>26</v>
      </c>
      <c r="R78" s="4">
        <v>0</v>
      </c>
      <c r="S78" s="6">
        <v>0</v>
      </c>
      <c r="T78" s="6">
        <v>4</v>
      </c>
      <c r="U78" s="6">
        <v>54</v>
      </c>
      <c r="V78" s="6">
        <f>IF(ISERROR(VLOOKUP($S$78,'TAR FIN'!$A$1:$O$85,15,0)),0,VLOOKUP($S$78,'TAR FIN'!$A$1:$O$85,15,0))</f>
        <v>0</v>
      </c>
      <c r="W78" s="6">
        <f>IF(ISERROR(VLOOKUP($T$78,'TAR FIN'!$A$1:$O$85,15,0)),0,VLOOKUP($T$78,'TAR FIN'!$A$1:$O$85,15,0))</f>
        <v>55.3</v>
      </c>
      <c r="X78" s="6">
        <f>IF(ISERROR(VLOOKUP($U$78,'TAR FIN'!$A$1:$O$85,15,0)),0,VLOOKUP($U$78,'TAR FIN'!$A$1:$O$85,15,0))</f>
        <v>84.48</v>
      </c>
      <c r="Y78" s="6"/>
      <c r="Z78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8" s="6">
        <f>('TE BE'!$AB$11+'TE BF'!$AB$11+'TE CVA'!$AB$11)*(1-CUSTOS!$M$34)</f>
        <v>83.968904654609645</v>
      </c>
      <c r="AB78" s="6">
        <f>$K$78*$V$78</f>
        <v>0</v>
      </c>
      <c r="AC78" s="6">
        <f>$M$78*$W$78</f>
        <v>10.838799999999999</v>
      </c>
      <c r="AD78" s="6">
        <f>$O$78*$X$78</f>
        <v>16.55808</v>
      </c>
      <c r="AE78" s="6">
        <f>$K$78*$Y$78</f>
        <v>0</v>
      </c>
      <c r="AF78" s="6">
        <f ca="1">$M$78*$Z$78</f>
        <v>12.302876851244172</v>
      </c>
      <c r="AG78" s="6">
        <f>$O$78*$AA$78</f>
        <v>16.457905312303492</v>
      </c>
    </row>
    <row r="79" spans="1:33" ht="11.25" customHeight="1" x14ac:dyDescent="0.25">
      <c r="A79" s="4" t="s">
        <v>21</v>
      </c>
      <c r="B79" s="4" t="s">
        <v>22</v>
      </c>
      <c r="C79" s="4" t="s">
        <v>23</v>
      </c>
      <c r="D79" s="4" t="s">
        <v>24</v>
      </c>
      <c r="E79" s="4" t="s">
        <v>27</v>
      </c>
      <c r="F79" s="4" t="s">
        <v>25</v>
      </c>
      <c r="G79" s="4" t="s">
        <v>25</v>
      </c>
      <c r="H79" s="4" t="s">
        <v>25</v>
      </c>
      <c r="I79" s="5">
        <v>44593</v>
      </c>
      <c r="J79" s="6">
        <v>0</v>
      </c>
      <c r="K79" s="6">
        <v>0</v>
      </c>
      <c r="L79" s="6">
        <v>0.33700000000000002</v>
      </c>
      <c r="M79" s="6">
        <v>0.33700000000000002</v>
      </c>
      <c r="N79" s="6">
        <v>0.33700000000000002</v>
      </c>
      <c r="O79" s="6">
        <v>0.33700000000000002</v>
      </c>
      <c r="P79" s="6">
        <v>1</v>
      </c>
      <c r="Q79" s="4" t="s">
        <v>26</v>
      </c>
      <c r="R79" s="4">
        <v>0</v>
      </c>
      <c r="S79" s="6">
        <v>0</v>
      </c>
      <c r="T79" s="6">
        <v>4</v>
      </c>
      <c r="U79" s="6">
        <v>54</v>
      </c>
      <c r="V79" s="6">
        <f>IF(ISERROR(VLOOKUP($S$79,'TAR FIN'!$A$1:$O$85,15,0)),0,VLOOKUP($S$79,'TAR FIN'!$A$1:$O$85,15,0))</f>
        <v>0</v>
      </c>
      <c r="W79" s="6">
        <f>IF(ISERROR(VLOOKUP($T$79,'TAR FIN'!$A$1:$O$85,15,0)),0,VLOOKUP($T$79,'TAR FIN'!$A$1:$O$85,15,0))</f>
        <v>55.3</v>
      </c>
      <c r="X79" s="6">
        <f>IF(ISERROR(VLOOKUP($U$79,'TAR FIN'!$A$1:$O$85,15,0)),0,VLOOKUP($U$79,'TAR FIN'!$A$1:$O$85,15,0))</f>
        <v>84.48</v>
      </c>
      <c r="Y79" s="6"/>
      <c r="Z79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9" s="6">
        <f>('TE BE'!$AB$11+'TE BF'!$AB$11+'TE CVA'!$AB$11)*(1-CUSTOS!$M$34)</f>
        <v>83.968904654609645</v>
      </c>
      <c r="AB79" s="6">
        <f>$K$79*$V$79</f>
        <v>0</v>
      </c>
      <c r="AC79" s="6">
        <f>$M$79*$W$79</f>
        <v>18.636099999999999</v>
      </c>
      <c r="AD79" s="6">
        <f>$O$79*$X$79</f>
        <v>28.469760000000004</v>
      </c>
      <c r="AE79" s="6">
        <f>$K$79*$Y$79</f>
        <v>0</v>
      </c>
      <c r="AF79" s="6">
        <f ca="1">$M$79*$Z$79</f>
        <v>21.153415810557579</v>
      </c>
      <c r="AG79" s="6">
        <f>$O$79*$AA$79</f>
        <v>28.297520868603453</v>
      </c>
    </row>
    <row r="80" spans="1:33" ht="11.25" customHeight="1" x14ac:dyDescent="0.25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27</v>
      </c>
      <c r="F80" s="4" t="s">
        <v>25</v>
      </c>
      <c r="G80" s="4" t="s">
        <v>25</v>
      </c>
      <c r="H80" s="4" t="s">
        <v>25</v>
      </c>
      <c r="I80" s="5">
        <v>44621</v>
      </c>
      <c r="J80" s="6">
        <v>0</v>
      </c>
      <c r="K80" s="6">
        <v>0</v>
      </c>
      <c r="L80" s="6">
        <v>0.33</v>
      </c>
      <c r="M80" s="6">
        <v>0.33</v>
      </c>
      <c r="N80" s="6">
        <v>0.33</v>
      </c>
      <c r="O80" s="6">
        <v>0.33</v>
      </c>
      <c r="P80" s="6">
        <v>1</v>
      </c>
      <c r="Q80" s="4" t="s">
        <v>26</v>
      </c>
      <c r="R80" s="4">
        <v>0</v>
      </c>
      <c r="S80" s="6">
        <v>0</v>
      </c>
      <c r="T80" s="6">
        <v>4</v>
      </c>
      <c r="U80" s="6">
        <v>54</v>
      </c>
      <c r="V80" s="6">
        <f>IF(ISERROR(VLOOKUP($S$80,'TAR FIN'!$A$1:$O$85,15,0)),0,VLOOKUP($S$80,'TAR FIN'!$A$1:$O$85,15,0))</f>
        <v>0</v>
      </c>
      <c r="W80" s="6">
        <f>IF(ISERROR(VLOOKUP($T$80,'TAR FIN'!$A$1:$O$85,15,0)),0,VLOOKUP($T$80,'TAR FIN'!$A$1:$O$85,15,0))</f>
        <v>55.3</v>
      </c>
      <c r="X80" s="6">
        <f>IF(ISERROR(VLOOKUP($U$80,'TAR FIN'!$A$1:$O$85,15,0)),0,VLOOKUP($U$80,'TAR FIN'!$A$1:$O$85,15,0))</f>
        <v>84.48</v>
      </c>
      <c r="Y80" s="6"/>
      <c r="Z80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0" s="6">
        <f>('TE BE'!$AB$11+'TE BF'!$AB$11+'TE CVA'!$AB$11)*(1-CUSTOS!$M$34)</f>
        <v>83.968904654609645</v>
      </c>
      <c r="AB80" s="6">
        <f>$K$80*$V$80</f>
        <v>0</v>
      </c>
      <c r="AC80" s="6">
        <f>$M$80*$W$80</f>
        <v>18.248999999999999</v>
      </c>
      <c r="AD80" s="6">
        <f>$O$80*$X$80</f>
        <v>27.878400000000003</v>
      </c>
      <c r="AE80" s="6">
        <f>$K$80*$Y$80</f>
        <v>0</v>
      </c>
      <c r="AF80" s="6">
        <f ca="1">$M$80*$Z$80</f>
        <v>20.714027351584573</v>
      </c>
      <c r="AG80" s="6">
        <f>$O$80*$AA$80</f>
        <v>27.709738536021185</v>
      </c>
    </row>
    <row r="81" spans="1:33" ht="11.25" customHeight="1" x14ac:dyDescent="0.25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27</v>
      </c>
      <c r="F81" s="4" t="s">
        <v>25</v>
      </c>
      <c r="G81" s="4" t="s">
        <v>25</v>
      </c>
      <c r="H81" s="4" t="s">
        <v>25</v>
      </c>
      <c r="I81" s="5">
        <v>44652</v>
      </c>
      <c r="J81" s="6">
        <v>0</v>
      </c>
      <c r="K81" s="6">
        <v>0</v>
      </c>
      <c r="L81" s="6">
        <v>0.33</v>
      </c>
      <c r="M81" s="6">
        <v>0.33</v>
      </c>
      <c r="N81" s="6">
        <v>0.33</v>
      </c>
      <c r="O81" s="6">
        <v>0.33</v>
      </c>
      <c r="P81" s="6">
        <v>1</v>
      </c>
      <c r="Q81" s="4" t="s">
        <v>26</v>
      </c>
      <c r="R81" s="4">
        <v>0</v>
      </c>
      <c r="S81" s="6">
        <v>0</v>
      </c>
      <c r="T81" s="6">
        <v>4</v>
      </c>
      <c r="U81" s="6">
        <v>54</v>
      </c>
      <c r="V81" s="6">
        <f>IF(ISERROR(VLOOKUP($S$81,'TAR FIN'!$A$1:$O$85,15,0)),0,VLOOKUP($S$81,'TAR FIN'!$A$1:$O$85,15,0))</f>
        <v>0</v>
      </c>
      <c r="W81" s="6">
        <f>IF(ISERROR(VLOOKUP($T$81,'TAR FIN'!$A$1:$O$85,15,0)),0,VLOOKUP($T$81,'TAR FIN'!$A$1:$O$85,15,0))</f>
        <v>55.3</v>
      </c>
      <c r="X81" s="6">
        <f>IF(ISERROR(VLOOKUP($U$81,'TAR FIN'!$A$1:$O$85,15,0)),0,VLOOKUP($U$81,'TAR FIN'!$A$1:$O$85,15,0))</f>
        <v>84.48</v>
      </c>
      <c r="Y81" s="6"/>
      <c r="Z81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1" s="6">
        <f>('TE BE'!$AB$11+'TE BF'!$AB$11+'TE CVA'!$AB$11)*(1-CUSTOS!$M$34)</f>
        <v>83.968904654609645</v>
      </c>
      <c r="AB81" s="6">
        <f>$K$81*$V$81</f>
        <v>0</v>
      </c>
      <c r="AC81" s="6">
        <f>$M$81*$W$81</f>
        <v>18.248999999999999</v>
      </c>
      <c r="AD81" s="6">
        <f>$O$81*$X$81</f>
        <v>27.878400000000003</v>
      </c>
      <c r="AE81" s="6">
        <f>$K$81*$Y$81</f>
        <v>0</v>
      </c>
      <c r="AF81" s="6">
        <f ca="1">$M$81*$Z$81</f>
        <v>20.714027351584573</v>
      </c>
      <c r="AG81" s="6">
        <f>$O$81*$AA$81</f>
        <v>27.709738536021185</v>
      </c>
    </row>
    <row r="82" spans="1:33" ht="11.25" customHeight="1" x14ac:dyDescent="0.25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27</v>
      </c>
      <c r="F82" s="4" t="s">
        <v>25</v>
      </c>
      <c r="G82" s="4" t="s">
        <v>25</v>
      </c>
      <c r="H82" s="4" t="s">
        <v>25</v>
      </c>
      <c r="I82" s="5">
        <v>44682</v>
      </c>
      <c r="J82" s="6">
        <v>0</v>
      </c>
      <c r="K82" s="6">
        <v>0</v>
      </c>
      <c r="L82" s="6">
        <v>0.33</v>
      </c>
      <c r="M82" s="6">
        <v>0.33</v>
      </c>
      <c r="N82" s="6">
        <v>0.33</v>
      </c>
      <c r="O82" s="6">
        <v>0.33</v>
      </c>
      <c r="P82" s="6">
        <v>1</v>
      </c>
      <c r="Q82" s="4" t="s">
        <v>26</v>
      </c>
      <c r="R82" s="4">
        <v>0</v>
      </c>
      <c r="S82" s="6">
        <v>0</v>
      </c>
      <c r="T82" s="6">
        <v>4</v>
      </c>
      <c r="U82" s="6">
        <v>54</v>
      </c>
      <c r="V82" s="6">
        <f>IF(ISERROR(VLOOKUP($S$82,'TAR FIN'!$A$1:$O$85,15,0)),0,VLOOKUP($S$82,'TAR FIN'!$A$1:$O$85,15,0))</f>
        <v>0</v>
      </c>
      <c r="W82" s="6">
        <f>IF(ISERROR(VLOOKUP($T$82,'TAR FIN'!$A$1:$O$85,15,0)),0,VLOOKUP($T$82,'TAR FIN'!$A$1:$O$85,15,0))</f>
        <v>55.3</v>
      </c>
      <c r="X82" s="6">
        <f>IF(ISERROR(VLOOKUP($U$82,'TAR FIN'!$A$1:$O$85,15,0)),0,VLOOKUP($U$82,'TAR FIN'!$A$1:$O$85,15,0))</f>
        <v>84.48</v>
      </c>
      <c r="Y82" s="6"/>
      <c r="Z82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2" s="6">
        <f>('TE BE'!$AB$11+'TE BF'!$AB$11+'TE CVA'!$AB$11)*(1-CUSTOS!$M$34)</f>
        <v>83.968904654609645</v>
      </c>
      <c r="AB82" s="6">
        <f>$K$82*$V$82</f>
        <v>0</v>
      </c>
      <c r="AC82" s="6">
        <f>$M$82*$W$82</f>
        <v>18.248999999999999</v>
      </c>
      <c r="AD82" s="6">
        <f>$O$82*$X$82</f>
        <v>27.878400000000003</v>
      </c>
      <c r="AE82" s="6">
        <f>$K$82*$Y$82</f>
        <v>0</v>
      </c>
      <c r="AF82" s="6">
        <f ca="1">$M$82*$Z$82</f>
        <v>20.714027351584573</v>
      </c>
      <c r="AG82" s="6">
        <f>$O$82*$AA$82</f>
        <v>27.709738536021185</v>
      </c>
    </row>
    <row r="83" spans="1:33" ht="11.25" customHeight="1" x14ac:dyDescent="0.25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27</v>
      </c>
      <c r="F83" s="4" t="s">
        <v>25</v>
      </c>
      <c r="G83" s="4" t="s">
        <v>25</v>
      </c>
      <c r="H83" s="4" t="s">
        <v>25</v>
      </c>
      <c r="I83" s="5">
        <v>44713</v>
      </c>
      <c r="J83" s="6">
        <v>0</v>
      </c>
      <c r="K83" s="6">
        <v>0</v>
      </c>
      <c r="L83" s="6">
        <v>0.33</v>
      </c>
      <c r="M83" s="6">
        <v>0.33</v>
      </c>
      <c r="N83" s="6">
        <v>0.33</v>
      </c>
      <c r="O83" s="6">
        <v>0.33</v>
      </c>
      <c r="P83" s="6">
        <v>1</v>
      </c>
      <c r="Q83" s="4" t="s">
        <v>26</v>
      </c>
      <c r="R83" s="4">
        <v>0</v>
      </c>
      <c r="S83" s="6">
        <v>0</v>
      </c>
      <c r="T83" s="6">
        <v>4</v>
      </c>
      <c r="U83" s="6">
        <v>54</v>
      </c>
      <c r="V83" s="6">
        <f>IF(ISERROR(VLOOKUP($S$83,'TAR FIN'!$A$1:$O$85,15,0)),0,VLOOKUP($S$83,'TAR FIN'!$A$1:$O$85,15,0))</f>
        <v>0</v>
      </c>
      <c r="W83" s="6">
        <f>IF(ISERROR(VLOOKUP($T$83,'TAR FIN'!$A$1:$O$85,15,0)),0,VLOOKUP($T$83,'TAR FIN'!$A$1:$O$85,15,0))</f>
        <v>55.3</v>
      </c>
      <c r="X83" s="6">
        <f>IF(ISERROR(VLOOKUP($U$83,'TAR FIN'!$A$1:$O$85,15,0)),0,VLOOKUP($U$83,'TAR FIN'!$A$1:$O$85,15,0))</f>
        <v>84.48</v>
      </c>
      <c r="Y83" s="6"/>
      <c r="Z83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3" s="6">
        <f>('TE BE'!$AB$11+'TE BF'!$AB$11+'TE CVA'!$AB$11)*(1-CUSTOS!$M$34)</f>
        <v>83.968904654609645</v>
      </c>
      <c r="AB83" s="6">
        <f>$K$83*$V$83</f>
        <v>0</v>
      </c>
      <c r="AC83" s="6">
        <f>$M$83*$W$83</f>
        <v>18.248999999999999</v>
      </c>
      <c r="AD83" s="6">
        <f>$O$83*$X$83</f>
        <v>27.878400000000003</v>
      </c>
      <c r="AE83" s="6">
        <f>$K$83*$Y$83</f>
        <v>0</v>
      </c>
      <c r="AF83" s="6">
        <f ca="1">$M$83*$Z$83</f>
        <v>20.714027351584573</v>
      </c>
      <c r="AG83" s="6">
        <f>$O$83*$AA$83</f>
        <v>27.709738536021185</v>
      </c>
    </row>
    <row r="84" spans="1:33" ht="11.25" customHeight="1" x14ac:dyDescent="0.25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27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0.33</v>
      </c>
      <c r="M84" s="6">
        <v>0.33</v>
      </c>
      <c r="N84" s="6">
        <v>0.33</v>
      </c>
      <c r="O84" s="6">
        <v>0.33</v>
      </c>
      <c r="P84" s="6">
        <v>1</v>
      </c>
      <c r="Q84" s="4" t="s">
        <v>26</v>
      </c>
      <c r="R84" s="4">
        <v>0</v>
      </c>
      <c r="S84" s="6">
        <v>0</v>
      </c>
      <c r="T84" s="6">
        <v>4</v>
      </c>
      <c r="U84" s="6">
        <v>54</v>
      </c>
      <c r="V84" s="6">
        <f>IF(ISERROR(VLOOKUP($S$84,'TAR FIN'!$A$1:$O$85,15,0)),0,VLOOKUP($S$84,'TAR FIN'!$A$1:$O$85,15,0))</f>
        <v>0</v>
      </c>
      <c r="W84" s="6">
        <f>IF(ISERROR(VLOOKUP($T$84,'TAR FIN'!$A$1:$O$85,15,0)),0,VLOOKUP($T$84,'TAR FIN'!$A$1:$O$85,15,0))</f>
        <v>55.3</v>
      </c>
      <c r="X84" s="6">
        <f>IF(ISERROR(VLOOKUP($U$84,'TAR FIN'!$A$1:$O$85,15,0)),0,VLOOKUP($U$84,'TAR FIN'!$A$1:$O$85,15,0))</f>
        <v>84.48</v>
      </c>
      <c r="Y84" s="6"/>
      <c r="Z84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4" s="6">
        <f>('TE BE'!$AB$11+'TE BF'!$AB$11+'TE CVA'!$AB$11)*(1-CUSTOS!$M$34)</f>
        <v>83.968904654609645</v>
      </c>
      <c r="AB84" s="6">
        <f>$K$84*$V$84</f>
        <v>0</v>
      </c>
      <c r="AC84" s="6">
        <f>$M$84*$W$84</f>
        <v>18.248999999999999</v>
      </c>
      <c r="AD84" s="6">
        <f>$O$84*$X$84</f>
        <v>27.878400000000003</v>
      </c>
      <c r="AE84" s="6">
        <f>$K$84*$Y$84</f>
        <v>0</v>
      </c>
      <c r="AF84" s="6">
        <f ca="1">$M$84*$Z$84</f>
        <v>20.714027351584573</v>
      </c>
      <c r="AG84" s="6">
        <f>$O$84*$AA$84</f>
        <v>27.709738536021185</v>
      </c>
    </row>
    <row r="85" spans="1:33" ht="11.25" customHeight="1" x14ac:dyDescent="0.25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27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0.185</v>
      </c>
      <c r="M85" s="6">
        <v>0.185</v>
      </c>
      <c r="N85" s="6">
        <v>0.185</v>
      </c>
      <c r="O85" s="6">
        <v>0.185</v>
      </c>
      <c r="P85" s="6">
        <v>1</v>
      </c>
      <c r="Q85" s="4" t="s">
        <v>26</v>
      </c>
      <c r="R85" s="4">
        <v>0</v>
      </c>
      <c r="S85" s="6">
        <v>0</v>
      </c>
      <c r="T85" s="6">
        <v>4</v>
      </c>
      <c r="U85" s="6">
        <v>54</v>
      </c>
      <c r="V85" s="6">
        <f>IF(ISERROR(VLOOKUP($S$85,'TAR FIN'!$A$1:$O$85,15,0)),0,VLOOKUP($S$85,'TAR FIN'!$A$1:$O$85,15,0))</f>
        <v>0</v>
      </c>
      <c r="W85" s="6">
        <f>IF(ISERROR(VLOOKUP($T$85,'TAR FIN'!$A$1:$O$85,15,0)),0,VLOOKUP($T$85,'TAR FIN'!$A$1:$O$85,15,0))</f>
        <v>55.3</v>
      </c>
      <c r="X85" s="6">
        <f>IF(ISERROR(VLOOKUP($U$85,'TAR FIN'!$A$1:$O$85,15,0)),0,VLOOKUP($U$85,'TAR FIN'!$A$1:$O$85,15,0))</f>
        <v>84.48</v>
      </c>
      <c r="Y85" s="6"/>
      <c r="Z85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5" s="6">
        <f>('TE BE'!$AB$11+'TE BF'!$AB$11+'TE CVA'!$AB$11)*(1-CUSTOS!$M$34)</f>
        <v>83.968904654609645</v>
      </c>
      <c r="AB85" s="6">
        <f>$K$85*$V$85</f>
        <v>0</v>
      </c>
      <c r="AC85" s="6">
        <f>$M$85*$W$85</f>
        <v>10.230499999999999</v>
      </c>
      <c r="AD85" s="6">
        <f>$O$85*$X$85</f>
        <v>15.6288</v>
      </c>
      <c r="AE85" s="6">
        <f>$K$85*$Y$85</f>
        <v>0</v>
      </c>
      <c r="AF85" s="6">
        <f ca="1">$M$85*$Z$85</f>
        <v>11.612409272858018</v>
      </c>
      <c r="AG85" s="6">
        <f>$O$85*$AA$85</f>
        <v>15.534247361102784</v>
      </c>
    </row>
    <row r="86" spans="1:33" ht="11.25" customHeight="1" x14ac:dyDescent="0.25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28</v>
      </c>
      <c r="F86" s="4" t="s">
        <v>25</v>
      </c>
      <c r="G86" s="4" t="s">
        <v>25</v>
      </c>
      <c r="H86" s="4" t="s">
        <v>25</v>
      </c>
      <c r="I86" s="5">
        <v>44440</v>
      </c>
      <c r="J86" s="6">
        <v>0</v>
      </c>
      <c r="K86" s="6">
        <v>0</v>
      </c>
      <c r="L86" s="6">
        <v>8.5999999999999993E-2</v>
      </c>
      <c r="M86" s="6">
        <v>8.5999999999999993E-2</v>
      </c>
      <c r="N86" s="6">
        <v>8.5999999999999993E-2</v>
      </c>
      <c r="O86" s="6">
        <v>8.5999999999999993E-2</v>
      </c>
      <c r="P86" s="6">
        <v>1</v>
      </c>
      <c r="Q86" s="4" t="s">
        <v>26</v>
      </c>
      <c r="R86" s="4">
        <v>0</v>
      </c>
      <c r="S86" s="6">
        <v>0</v>
      </c>
      <c r="T86" s="6">
        <v>26</v>
      </c>
      <c r="U86" s="6">
        <v>64</v>
      </c>
      <c r="V86" s="6">
        <f>IF(ISERROR(VLOOKUP($S$86,'TAR FIN'!$A$1:$O$85,15,0)),0,VLOOKUP($S$86,'TAR FIN'!$A$1:$O$85,15,0))</f>
        <v>0</v>
      </c>
      <c r="W86" s="6">
        <f>IF(ISERROR(VLOOKUP($T$86,'TAR FIN'!$A$1:$O$85,15,0)),0,VLOOKUP($T$86,'TAR FIN'!$A$1:$O$85,15,0))</f>
        <v>94.79</v>
      </c>
      <c r="X86" s="6">
        <f>IF(ISERROR(VLOOKUP($U$86,'TAR FIN'!$A$1:$O$85,15,0)),0,VLOOKUP($U$86,'TAR FIN'!$A$1:$O$85,15,0))</f>
        <v>144.82</v>
      </c>
      <c r="Y86" s="6"/>
      <c r="Z86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86" s="6">
        <f>('TE BE'!$AB$12+'TE BF'!$AB$12+'TE CVA'!$AB$12)*(1-CUSTOS!$M$35)</f>
        <v>143.94669369361654</v>
      </c>
      <c r="AB86" s="6">
        <f>$K$86*$V$86</f>
        <v>0</v>
      </c>
      <c r="AC86" s="6">
        <f>$M$86*$W$86</f>
        <v>8.1519399999999997</v>
      </c>
      <c r="AD86" s="6">
        <f>$O$86*$X$86</f>
        <v>12.454519999999999</v>
      </c>
      <c r="AE86" s="6">
        <f>$K$86*$Y$86</f>
        <v>0</v>
      </c>
      <c r="AF86" s="6">
        <f ca="1">$M$86*$Z$86</f>
        <v>9.2540589726559652</v>
      </c>
      <c r="AG86" s="6">
        <f>$O$86*$AA$86</f>
        <v>12.379415657651021</v>
      </c>
    </row>
    <row r="87" spans="1:33" ht="11.25" customHeight="1" x14ac:dyDescent="0.25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28</v>
      </c>
      <c r="F87" s="4" t="s">
        <v>25</v>
      </c>
      <c r="G87" s="4" t="s">
        <v>25</v>
      </c>
      <c r="H87" s="4" t="s">
        <v>25</v>
      </c>
      <c r="I87" s="5">
        <v>44470</v>
      </c>
      <c r="J87" s="6">
        <v>0</v>
      </c>
      <c r="K87" s="6">
        <v>0</v>
      </c>
      <c r="L87" s="6">
        <v>0.44600000000000001</v>
      </c>
      <c r="M87" s="6">
        <v>0.44600000000000001</v>
      </c>
      <c r="N87" s="6">
        <v>0.44600000000000001</v>
      </c>
      <c r="O87" s="6">
        <v>0.44600000000000001</v>
      </c>
      <c r="P87" s="6">
        <v>1</v>
      </c>
      <c r="Q87" s="4" t="s">
        <v>26</v>
      </c>
      <c r="R87" s="4">
        <v>0</v>
      </c>
      <c r="S87" s="6">
        <v>0</v>
      </c>
      <c r="T87" s="6">
        <v>26</v>
      </c>
      <c r="U87" s="6">
        <v>64</v>
      </c>
      <c r="V87" s="6">
        <f>IF(ISERROR(VLOOKUP($S$87,'TAR FIN'!$A$1:$O$85,15,0)),0,VLOOKUP($S$87,'TAR FIN'!$A$1:$O$85,15,0))</f>
        <v>0</v>
      </c>
      <c r="W87" s="6">
        <f>IF(ISERROR(VLOOKUP($T$87,'TAR FIN'!$A$1:$O$85,15,0)),0,VLOOKUP($T$87,'TAR FIN'!$A$1:$O$85,15,0))</f>
        <v>94.79</v>
      </c>
      <c r="X87" s="6">
        <f>IF(ISERROR(VLOOKUP($U$87,'TAR FIN'!$A$1:$O$85,15,0)),0,VLOOKUP($U$87,'TAR FIN'!$A$1:$O$85,15,0))</f>
        <v>144.82</v>
      </c>
      <c r="Y87" s="6"/>
      <c r="Z87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87" s="6">
        <f>('TE BE'!$AB$12+'TE BF'!$AB$12+'TE CVA'!$AB$12)*(1-CUSTOS!$M$35)</f>
        <v>143.94669369361654</v>
      </c>
      <c r="AB87" s="6">
        <f>$K$87*$V$87</f>
        <v>0</v>
      </c>
      <c r="AC87" s="6">
        <f>$M$87*$W$87</f>
        <v>42.276340000000005</v>
      </c>
      <c r="AD87" s="6">
        <f>$O$87*$X$87</f>
        <v>64.58972</v>
      </c>
      <c r="AE87" s="6">
        <f>$K$87*$Y$87</f>
        <v>0</v>
      </c>
      <c r="AF87" s="6">
        <f ca="1">$M$87*$Z$87</f>
        <v>47.991980253541406</v>
      </c>
      <c r="AG87" s="6">
        <f>$O$87*$AA$87</f>
        <v>64.200225387352972</v>
      </c>
    </row>
    <row r="88" spans="1:33" ht="11.25" customHeight="1" x14ac:dyDescent="0.25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28</v>
      </c>
      <c r="F88" s="4" t="s">
        <v>25</v>
      </c>
      <c r="G88" s="4" t="s">
        <v>25</v>
      </c>
      <c r="H88" s="4" t="s">
        <v>25</v>
      </c>
      <c r="I88" s="5">
        <v>44501</v>
      </c>
      <c r="J88" s="6">
        <v>0</v>
      </c>
      <c r="K88" s="6">
        <v>0</v>
      </c>
      <c r="L88" s="6">
        <v>0.36399999999999999</v>
      </c>
      <c r="M88" s="6">
        <v>0.36399999999999999</v>
      </c>
      <c r="N88" s="6">
        <v>0.36399999999999999</v>
      </c>
      <c r="O88" s="6">
        <v>0.36399999999999999</v>
      </c>
      <c r="P88" s="6">
        <v>1</v>
      </c>
      <c r="Q88" s="4" t="s">
        <v>26</v>
      </c>
      <c r="R88" s="4">
        <v>0</v>
      </c>
      <c r="S88" s="6">
        <v>0</v>
      </c>
      <c r="T88" s="6">
        <v>26</v>
      </c>
      <c r="U88" s="6">
        <v>64</v>
      </c>
      <c r="V88" s="6">
        <f>IF(ISERROR(VLOOKUP($S$88,'TAR FIN'!$A$1:$O$85,15,0)),0,VLOOKUP($S$88,'TAR FIN'!$A$1:$O$85,15,0))</f>
        <v>0</v>
      </c>
      <c r="W88" s="6">
        <f>IF(ISERROR(VLOOKUP($T$88,'TAR FIN'!$A$1:$O$85,15,0)),0,VLOOKUP($T$88,'TAR FIN'!$A$1:$O$85,15,0))</f>
        <v>94.79</v>
      </c>
      <c r="X88" s="6">
        <f>IF(ISERROR(VLOOKUP($U$88,'TAR FIN'!$A$1:$O$85,15,0)),0,VLOOKUP($U$88,'TAR FIN'!$A$1:$O$85,15,0))</f>
        <v>144.82</v>
      </c>
      <c r="Y88" s="6"/>
      <c r="Z88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88" s="6">
        <f>('TE BE'!$AB$12+'TE BF'!$AB$12+'TE CVA'!$AB$12)*(1-CUSTOS!$M$35)</f>
        <v>143.94669369361654</v>
      </c>
      <c r="AB88" s="6">
        <f>$K$88*$V$88</f>
        <v>0</v>
      </c>
      <c r="AC88" s="6">
        <f>$M$88*$W$88</f>
        <v>34.50356</v>
      </c>
      <c r="AD88" s="6">
        <f>$O$88*$X$88</f>
        <v>52.714479999999995</v>
      </c>
      <c r="AE88" s="6">
        <f>$K$88*$Y$88</f>
        <v>0</v>
      </c>
      <c r="AF88" s="6">
        <f ca="1">$M$88*$Z$88</f>
        <v>39.16834262845083</v>
      </c>
      <c r="AG88" s="6">
        <f>$O$88*$AA$88</f>
        <v>52.39659650447642</v>
      </c>
    </row>
    <row r="89" spans="1:33" ht="11.25" customHeight="1" x14ac:dyDescent="0.25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28</v>
      </c>
      <c r="F89" s="4" t="s">
        <v>25</v>
      </c>
      <c r="G89" s="4" t="s">
        <v>25</v>
      </c>
      <c r="H89" s="4" t="s">
        <v>25</v>
      </c>
      <c r="I89" s="5">
        <v>44531</v>
      </c>
      <c r="J89" s="6">
        <v>0</v>
      </c>
      <c r="K89" s="6">
        <v>0</v>
      </c>
      <c r="L89" s="6">
        <v>0.32400000000000001</v>
      </c>
      <c r="M89" s="6">
        <v>0.32400000000000001</v>
      </c>
      <c r="N89" s="6">
        <v>0.32400000000000001</v>
      </c>
      <c r="O89" s="6">
        <v>0.32400000000000001</v>
      </c>
      <c r="P89" s="6">
        <v>1</v>
      </c>
      <c r="Q89" s="4" t="s">
        <v>26</v>
      </c>
      <c r="R89" s="4">
        <v>0</v>
      </c>
      <c r="S89" s="6">
        <v>0</v>
      </c>
      <c r="T89" s="6">
        <v>26</v>
      </c>
      <c r="U89" s="6">
        <v>64</v>
      </c>
      <c r="V89" s="6">
        <f>IF(ISERROR(VLOOKUP($S$89,'TAR FIN'!$A$1:$O$85,15,0)),0,VLOOKUP($S$89,'TAR FIN'!$A$1:$O$85,15,0))</f>
        <v>0</v>
      </c>
      <c r="W89" s="6">
        <f>IF(ISERROR(VLOOKUP($T$89,'TAR FIN'!$A$1:$O$85,15,0)),0,VLOOKUP($T$89,'TAR FIN'!$A$1:$O$85,15,0))</f>
        <v>94.79</v>
      </c>
      <c r="X89" s="6">
        <f>IF(ISERROR(VLOOKUP($U$89,'TAR FIN'!$A$1:$O$85,15,0)),0,VLOOKUP($U$89,'TAR FIN'!$A$1:$O$85,15,0))</f>
        <v>144.82</v>
      </c>
      <c r="Y89" s="6"/>
      <c r="Z89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89" s="6">
        <f>('TE BE'!$AB$12+'TE BF'!$AB$12+'TE CVA'!$AB$12)*(1-CUSTOS!$M$35)</f>
        <v>143.94669369361654</v>
      </c>
      <c r="AB89" s="6">
        <f>$K$89*$V$89</f>
        <v>0</v>
      </c>
      <c r="AC89" s="6">
        <f>$M$89*$W$89</f>
        <v>30.711960000000001</v>
      </c>
      <c r="AD89" s="6">
        <f>$O$89*$X$89</f>
        <v>46.921680000000002</v>
      </c>
      <c r="AE89" s="6">
        <f>$K$89*$Y$89</f>
        <v>0</v>
      </c>
      <c r="AF89" s="6">
        <f ca="1">$M$89*$Z$89</f>
        <v>34.864129152796899</v>
      </c>
      <c r="AG89" s="6">
        <f>$O$89*$AA$89</f>
        <v>46.638728756731759</v>
      </c>
    </row>
    <row r="90" spans="1:33" ht="11.25" customHeight="1" x14ac:dyDescent="0.25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28</v>
      </c>
      <c r="F90" s="4" t="s">
        <v>25</v>
      </c>
      <c r="G90" s="4" t="s">
        <v>25</v>
      </c>
      <c r="H90" s="4" t="s">
        <v>25</v>
      </c>
      <c r="I90" s="5">
        <v>44562</v>
      </c>
      <c r="J90" s="6">
        <v>0</v>
      </c>
      <c r="K90" s="6">
        <v>0</v>
      </c>
      <c r="L90" s="6">
        <v>0.49199999999999999</v>
      </c>
      <c r="M90" s="6">
        <v>0.49199999999999999</v>
      </c>
      <c r="N90" s="6">
        <v>0.49199999999999999</v>
      </c>
      <c r="O90" s="6">
        <v>0.49199999999999999</v>
      </c>
      <c r="P90" s="6">
        <v>1</v>
      </c>
      <c r="Q90" s="4" t="s">
        <v>26</v>
      </c>
      <c r="R90" s="4">
        <v>0</v>
      </c>
      <c r="S90" s="6">
        <v>0</v>
      </c>
      <c r="T90" s="6">
        <v>26</v>
      </c>
      <c r="U90" s="6">
        <v>64</v>
      </c>
      <c r="V90" s="6">
        <f>IF(ISERROR(VLOOKUP($S$90,'TAR FIN'!$A$1:$O$85,15,0)),0,VLOOKUP($S$90,'TAR FIN'!$A$1:$O$85,15,0))</f>
        <v>0</v>
      </c>
      <c r="W90" s="6">
        <f>IF(ISERROR(VLOOKUP($T$90,'TAR FIN'!$A$1:$O$85,15,0)),0,VLOOKUP($T$90,'TAR FIN'!$A$1:$O$85,15,0))</f>
        <v>94.79</v>
      </c>
      <c r="X90" s="6">
        <f>IF(ISERROR(VLOOKUP($U$90,'TAR FIN'!$A$1:$O$85,15,0)),0,VLOOKUP($U$90,'TAR FIN'!$A$1:$O$85,15,0))</f>
        <v>144.82</v>
      </c>
      <c r="Y90" s="6"/>
      <c r="Z90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0" s="6">
        <f>('TE BE'!$AB$12+'TE BF'!$AB$12+'TE CVA'!$AB$12)*(1-CUSTOS!$M$35)</f>
        <v>143.94669369361654</v>
      </c>
      <c r="AB90" s="6">
        <f>$K$90*$V$90</f>
        <v>0</v>
      </c>
      <c r="AC90" s="6">
        <f>$M$90*$W$90</f>
        <v>46.636680000000005</v>
      </c>
      <c r="AD90" s="6">
        <f>$O$90*$X$90</f>
        <v>71.251440000000002</v>
      </c>
      <c r="AE90" s="6">
        <f>$K$90*$Y$90</f>
        <v>0</v>
      </c>
      <c r="AF90" s="6">
        <f ca="1">$M$90*$Z$90</f>
        <v>52.941825750543437</v>
      </c>
      <c r="AG90" s="6">
        <f>$O$90*$AA$90</f>
        <v>70.821773297259341</v>
      </c>
    </row>
    <row r="91" spans="1:33" ht="11.25" customHeight="1" x14ac:dyDescent="0.25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28</v>
      </c>
      <c r="F91" s="4" t="s">
        <v>25</v>
      </c>
      <c r="G91" s="4" t="s">
        <v>25</v>
      </c>
      <c r="H91" s="4" t="s">
        <v>25</v>
      </c>
      <c r="I91" s="5">
        <v>44593</v>
      </c>
      <c r="J91" s="6">
        <v>0</v>
      </c>
      <c r="K91" s="6">
        <v>0</v>
      </c>
      <c r="L91" s="6">
        <v>0.56599999999999995</v>
      </c>
      <c r="M91" s="6">
        <v>0.56599999999999995</v>
      </c>
      <c r="N91" s="6">
        <v>0.56599999999999995</v>
      </c>
      <c r="O91" s="6">
        <v>0.56599999999999995</v>
      </c>
      <c r="P91" s="6">
        <v>2</v>
      </c>
      <c r="Q91" s="4" t="s">
        <v>26</v>
      </c>
      <c r="R91" s="4">
        <v>0</v>
      </c>
      <c r="S91" s="6">
        <v>0</v>
      </c>
      <c r="T91" s="6">
        <v>26</v>
      </c>
      <c r="U91" s="6">
        <v>64</v>
      </c>
      <c r="V91" s="6">
        <f>IF(ISERROR(VLOOKUP($S$91,'TAR FIN'!$A$1:$O$85,15,0)),0,VLOOKUP($S$91,'TAR FIN'!$A$1:$O$85,15,0))</f>
        <v>0</v>
      </c>
      <c r="W91" s="6">
        <f>IF(ISERROR(VLOOKUP($T$91,'TAR FIN'!$A$1:$O$85,15,0)),0,VLOOKUP($T$91,'TAR FIN'!$A$1:$O$85,15,0))</f>
        <v>94.79</v>
      </c>
      <c r="X91" s="6">
        <f>IF(ISERROR(VLOOKUP($U$91,'TAR FIN'!$A$1:$O$85,15,0)),0,VLOOKUP($U$91,'TAR FIN'!$A$1:$O$85,15,0))</f>
        <v>144.82</v>
      </c>
      <c r="Y91" s="6"/>
      <c r="Z91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1" s="6">
        <f>('TE BE'!$AB$12+'TE BF'!$AB$12+'TE CVA'!$AB$12)*(1-CUSTOS!$M$35)</f>
        <v>143.94669369361654</v>
      </c>
      <c r="AB91" s="6">
        <f>$K$91*$V$91</f>
        <v>0</v>
      </c>
      <c r="AC91" s="6">
        <f>$M$91*$W$91</f>
        <v>53.651139999999998</v>
      </c>
      <c r="AD91" s="6">
        <f>$O$91*$X$91</f>
        <v>81.968119999999985</v>
      </c>
      <c r="AE91" s="6">
        <f>$K$91*$Y$91</f>
        <v>0</v>
      </c>
      <c r="AF91" s="6">
        <f ca="1">$M$91*$Z$91</f>
        <v>60.904620680503214</v>
      </c>
      <c r="AG91" s="6">
        <f>$O$91*$AA$91</f>
        <v>81.473828630586951</v>
      </c>
    </row>
    <row r="92" spans="1:33" ht="11.25" customHeight="1" x14ac:dyDescent="0.25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28</v>
      </c>
      <c r="F92" s="4" t="s">
        <v>25</v>
      </c>
      <c r="G92" s="4" t="s">
        <v>25</v>
      </c>
      <c r="H92" s="4" t="s">
        <v>25</v>
      </c>
      <c r="I92" s="5">
        <v>44621</v>
      </c>
      <c r="J92" s="6">
        <v>0</v>
      </c>
      <c r="K92" s="6">
        <v>0</v>
      </c>
      <c r="L92" s="6">
        <v>0.503</v>
      </c>
      <c r="M92" s="6">
        <v>0.503</v>
      </c>
      <c r="N92" s="6">
        <v>0.503</v>
      </c>
      <c r="O92" s="6">
        <v>0.503</v>
      </c>
      <c r="P92" s="6">
        <v>2</v>
      </c>
      <c r="Q92" s="4" t="s">
        <v>26</v>
      </c>
      <c r="R92" s="4">
        <v>0</v>
      </c>
      <c r="S92" s="6">
        <v>0</v>
      </c>
      <c r="T92" s="6">
        <v>26</v>
      </c>
      <c r="U92" s="6">
        <v>64</v>
      </c>
      <c r="V92" s="6">
        <f>IF(ISERROR(VLOOKUP($S$92,'TAR FIN'!$A$1:$O$85,15,0)),0,VLOOKUP($S$92,'TAR FIN'!$A$1:$O$85,15,0))</f>
        <v>0</v>
      </c>
      <c r="W92" s="6">
        <f>IF(ISERROR(VLOOKUP($T$92,'TAR FIN'!$A$1:$O$85,15,0)),0,VLOOKUP($T$92,'TAR FIN'!$A$1:$O$85,15,0))</f>
        <v>94.79</v>
      </c>
      <c r="X92" s="6">
        <f>IF(ISERROR(VLOOKUP($U$92,'TAR FIN'!$A$1:$O$85,15,0)),0,VLOOKUP($U$92,'TAR FIN'!$A$1:$O$85,15,0))</f>
        <v>144.82</v>
      </c>
      <c r="Y92" s="6"/>
      <c r="Z92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2" s="6">
        <f>('TE BE'!$AB$12+'TE BF'!$AB$12+'TE CVA'!$AB$12)*(1-CUSTOS!$M$35)</f>
        <v>143.94669369361654</v>
      </c>
      <c r="AB92" s="6">
        <f>$K$92*$V$92</f>
        <v>0</v>
      </c>
      <c r="AC92" s="6">
        <f>$M$92*$W$92</f>
        <v>47.679370000000006</v>
      </c>
      <c r="AD92" s="6">
        <f>$O$92*$X$92</f>
        <v>72.844459999999998</v>
      </c>
      <c r="AE92" s="6">
        <f>$K$92*$Y$92</f>
        <v>0</v>
      </c>
      <c r="AF92" s="6">
        <f ca="1">$M$92*$Z$92</f>
        <v>54.125484456348268</v>
      </c>
      <c r="AG92" s="6">
        <f>$O$92*$AA$92</f>
        <v>72.405186927889119</v>
      </c>
    </row>
    <row r="93" spans="1:33" ht="11.25" customHeight="1" x14ac:dyDescent="0.25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28</v>
      </c>
      <c r="F93" s="4" t="s">
        <v>25</v>
      </c>
      <c r="G93" s="4" t="s">
        <v>25</v>
      </c>
      <c r="H93" s="4" t="s">
        <v>25</v>
      </c>
      <c r="I93" s="5">
        <v>44652</v>
      </c>
      <c r="J93" s="6">
        <v>0</v>
      </c>
      <c r="K93" s="6">
        <v>0</v>
      </c>
      <c r="L93" s="6">
        <v>0.56599999999999995</v>
      </c>
      <c r="M93" s="6">
        <v>0.56599999999999995</v>
      </c>
      <c r="N93" s="6">
        <v>0.56599999999999995</v>
      </c>
      <c r="O93" s="6">
        <v>0.56599999999999995</v>
      </c>
      <c r="P93" s="6">
        <v>2</v>
      </c>
      <c r="Q93" s="4" t="s">
        <v>26</v>
      </c>
      <c r="R93" s="4">
        <v>0</v>
      </c>
      <c r="S93" s="6">
        <v>0</v>
      </c>
      <c r="T93" s="6">
        <v>26</v>
      </c>
      <c r="U93" s="6">
        <v>64</v>
      </c>
      <c r="V93" s="6">
        <f>IF(ISERROR(VLOOKUP($S$93,'TAR FIN'!$A$1:$O$85,15,0)),0,VLOOKUP($S$93,'TAR FIN'!$A$1:$O$85,15,0))</f>
        <v>0</v>
      </c>
      <c r="W93" s="6">
        <f>IF(ISERROR(VLOOKUP($T$93,'TAR FIN'!$A$1:$O$85,15,0)),0,VLOOKUP($T$93,'TAR FIN'!$A$1:$O$85,15,0))</f>
        <v>94.79</v>
      </c>
      <c r="X93" s="6">
        <f>IF(ISERROR(VLOOKUP($U$93,'TAR FIN'!$A$1:$O$85,15,0)),0,VLOOKUP($U$93,'TAR FIN'!$A$1:$O$85,15,0))</f>
        <v>144.82</v>
      </c>
      <c r="Y93" s="6"/>
      <c r="Z93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3" s="6">
        <f>('TE BE'!$AB$12+'TE BF'!$AB$12+'TE CVA'!$AB$12)*(1-CUSTOS!$M$35)</f>
        <v>143.94669369361654</v>
      </c>
      <c r="AB93" s="6">
        <f>$K$93*$V$93</f>
        <v>0</v>
      </c>
      <c r="AC93" s="6">
        <f>$M$93*$W$93</f>
        <v>53.651139999999998</v>
      </c>
      <c r="AD93" s="6">
        <f>$O$93*$X$93</f>
        <v>81.968119999999985</v>
      </c>
      <c r="AE93" s="6">
        <f>$K$93*$Y$93</f>
        <v>0</v>
      </c>
      <c r="AF93" s="6">
        <f ca="1">$M$93*$Z$93</f>
        <v>60.904620680503214</v>
      </c>
      <c r="AG93" s="6">
        <f>$O$93*$AA$93</f>
        <v>81.473828630586951</v>
      </c>
    </row>
    <row r="94" spans="1:3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28</v>
      </c>
      <c r="F94" s="4" t="s">
        <v>25</v>
      </c>
      <c r="G94" s="4" t="s">
        <v>25</v>
      </c>
      <c r="H94" s="4" t="s">
        <v>25</v>
      </c>
      <c r="I94" s="5">
        <v>44682</v>
      </c>
      <c r="J94" s="6">
        <v>0</v>
      </c>
      <c r="K94" s="6">
        <v>0</v>
      </c>
      <c r="L94" s="6">
        <v>0.38900000000000001</v>
      </c>
      <c r="M94" s="6">
        <v>0.38900000000000001</v>
      </c>
      <c r="N94" s="6">
        <v>0.38900000000000001</v>
      </c>
      <c r="O94" s="6">
        <v>0.38900000000000001</v>
      </c>
      <c r="P94" s="6">
        <v>2</v>
      </c>
      <c r="Q94" s="4" t="s">
        <v>26</v>
      </c>
      <c r="R94" s="4">
        <v>0</v>
      </c>
      <c r="S94" s="6">
        <v>0</v>
      </c>
      <c r="T94" s="6">
        <v>26</v>
      </c>
      <c r="U94" s="6">
        <v>64</v>
      </c>
      <c r="V94" s="6">
        <f>IF(ISERROR(VLOOKUP($S$94,'TAR FIN'!$A$1:$O$85,15,0)),0,VLOOKUP($S$94,'TAR FIN'!$A$1:$O$85,15,0))</f>
        <v>0</v>
      </c>
      <c r="W94" s="6">
        <f>IF(ISERROR(VLOOKUP($T$94,'TAR FIN'!$A$1:$O$85,15,0)),0,VLOOKUP($T$94,'TAR FIN'!$A$1:$O$85,15,0))</f>
        <v>94.79</v>
      </c>
      <c r="X94" s="6">
        <f>IF(ISERROR(VLOOKUP($U$94,'TAR FIN'!$A$1:$O$85,15,0)),0,VLOOKUP($U$94,'TAR FIN'!$A$1:$O$85,15,0))</f>
        <v>144.82</v>
      </c>
      <c r="Y94" s="6"/>
      <c r="Z94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4" s="6">
        <f>('TE BE'!$AB$12+'TE BF'!$AB$12+'TE CVA'!$AB$12)*(1-CUSTOS!$M$35)</f>
        <v>143.94669369361654</v>
      </c>
      <c r="AB94" s="6">
        <f>$K$94*$V$94</f>
        <v>0</v>
      </c>
      <c r="AC94" s="6">
        <f>$M$94*$W$94</f>
        <v>36.873310000000004</v>
      </c>
      <c r="AD94" s="6">
        <f>$O$94*$X$94</f>
        <v>56.334980000000002</v>
      </c>
      <c r="AE94" s="6">
        <f>$K$94*$Y$94</f>
        <v>0</v>
      </c>
      <c r="AF94" s="6">
        <f ca="1">$M$94*$Z$94</f>
        <v>41.858476050734545</v>
      </c>
      <c r="AG94" s="6">
        <f>$O$94*$AA$94</f>
        <v>55.995263846816833</v>
      </c>
    </row>
    <row r="95" spans="1:33" ht="11.25" customHeight="1" x14ac:dyDescent="0.25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28</v>
      </c>
      <c r="F95" s="4" t="s">
        <v>25</v>
      </c>
      <c r="G95" s="4" t="s">
        <v>25</v>
      </c>
      <c r="H95" s="4" t="s">
        <v>25</v>
      </c>
      <c r="I95" s="5">
        <v>44713</v>
      </c>
      <c r="J95" s="6">
        <v>0</v>
      </c>
      <c r="K95" s="6">
        <v>0</v>
      </c>
      <c r="L95" s="6">
        <v>0.42399999999999999</v>
      </c>
      <c r="M95" s="6">
        <v>0.42399999999999999</v>
      </c>
      <c r="N95" s="6">
        <v>0.42399999999999999</v>
      </c>
      <c r="O95" s="6">
        <v>0.42399999999999999</v>
      </c>
      <c r="P95" s="6">
        <v>2</v>
      </c>
      <c r="Q95" s="4" t="s">
        <v>26</v>
      </c>
      <c r="R95" s="4">
        <v>0</v>
      </c>
      <c r="S95" s="6">
        <v>0</v>
      </c>
      <c r="T95" s="6">
        <v>26</v>
      </c>
      <c r="U95" s="6">
        <v>64</v>
      </c>
      <c r="V95" s="6">
        <f>IF(ISERROR(VLOOKUP($S$95,'TAR FIN'!$A$1:$O$85,15,0)),0,VLOOKUP($S$95,'TAR FIN'!$A$1:$O$85,15,0))</f>
        <v>0</v>
      </c>
      <c r="W95" s="6">
        <f>IF(ISERROR(VLOOKUP($T$95,'TAR FIN'!$A$1:$O$85,15,0)),0,VLOOKUP($T$95,'TAR FIN'!$A$1:$O$85,15,0))</f>
        <v>94.79</v>
      </c>
      <c r="X95" s="6">
        <f>IF(ISERROR(VLOOKUP($U$95,'TAR FIN'!$A$1:$O$85,15,0)),0,VLOOKUP($U$95,'TAR FIN'!$A$1:$O$85,15,0))</f>
        <v>144.82</v>
      </c>
      <c r="Y95" s="6"/>
      <c r="Z95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5" s="6">
        <f>('TE BE'!$AB$12+'TE BF'!$AB$12+'TE CVA'!$AB$12)*(1-CUSTOS!$M$35)</f>
        <v>143.94669369361654</v>
      </c>
      <c r="AB95" s="6">
        <f>$K$95*$V$95</f>
        <v>0</v>
      </c>
      <c r="AC95" s="6">
        <f>$M$95*$W$95</f>
        <v>40.190960000000004</v>
      </c>
      <c r="AD95" s="6">
        <f>$O$95*$X$95</f>
        <v>61.403679999999994</v>
      </c>
      <c r="AE95" s="6">
        <f>$K$95*$Y$95</f>
        <v>0</v>
      </c>
      <c r="AF95" s="6">
        <f ca="1">$M$95*$Z$95</f>
        <v>45.624662841931737</v>
      </c>
      <c r="AG95" s="6">
        <f>$O$95*$AA$95</f>
        <v>61.03339812609341</v>
      </c>
    </row>
    <row r="96" spans="1:33" ht="11.25" customHeight="1" x14ac:dyDescent="0.25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28</v>
      </c>
      <c r="F96" s="4" t="s">
        <v>25</v>
      </c>
      <c r="G96" s="4" t="s">
        <v>25</v>
      </c>
      <c r="H96" s="4" t="s">
        <v>25</v>
      </c>
      <c r="I96" s="5">
        <v>44743</v>
      </c>
      <c r="J96" s="6">
        <v>0</v>
      </c>
      <c r="K96" s="6">
        <v>0</v>
      </c>
      <c r="L96" s="6">
        <v>0.33300000000000002</v>
      </c>
      <c r="M96" s="6">
        <v>0.33300000000000002</v>
      </c>
      <c r="N96" s="6">
        <v>0.33300000000000002</v>
      </c>
      <c r="O96" s="6">
        <v>0.33300000000000002</v>
      </c>
      <c r="P96" s="6">
        <v>2</v>
      </c>
      <c r="Q96" s="4" t="s">
        <v>26</v>
      </c>
      <c r="R96" s="4">
        <v>0</v>
      </c>
      <c r="S96" s="6">
        <v>0</v>
      </c>
      <c r="T96" s="6">
        <v>26</v>
      </c>
      <c r="U96" s="6">
        <v>64</v>
      </c>
      <c r="V96" s="6">
        <f>IF(ISERROR(VLOOKUP($S$96,'TAR FIN'!$A$1:$O$85,15,0)),0,VLOOKUP($S$96,'TAR FIN'!$A$1:$O$85,15,0))</f>
        <v>0</v>
      </c>
      <c r="W96" s="6">
        <f>IF(ISERROR(VLOOKUP($T$96,'TAR FIN'!$A$1:$O$85,15,0)),0,VLOOKUP($T$96,'TAR FIN'!$A$1:$O$85,15,0))</f>
        <v>94.79</v>
      </c>
      <c r="X96" s="6">
        <f>IF(ISERROR(VLOOKUP($U$96,'TAR FIN'!$A$1:$O$85,15,0)),0,VLOOKUP($U$96,'TAR FIN'!$A$1:$O$85,15,0))</f>
        <v>144.82</v>
      </c>
      <c r="Y96" s="6"/>
      <c r="Z96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6" s="6">
        <f>('TE BE'!$AB$12+'TE BF'!$AB$12+'TE CVA'!$AB$12)*(1-CUSTOS!$M$35)</f>
        <v>143.94669369361654</v>
      </c>
      <c r="AB96" s="6">
        <f>$K$96*$V$96</f>
        <v>0</v>
      </c>
      <c r="AC96" s="6">
        <f>$M$96*$W$96</f>
        <v>31.565070000000002</v>
      </c>
      <c r="AD96" s="6">
        <f>$O$96*$X$96</f>
        <v>48.225059999999999</v>
      </c>
      <c r="AE96" s="6">
        <f>$K$96*$Y$96</f>
        <v>0</v>
      </c>
      <c r="AF96" s="6">
        <f ca="1">$M$96*$Z$96</f>
        <v>35.832577184819037</v>
      </c>
      <c r="AG96" s="6">
        <f>$O$96*$AA$96</f>
        <v>47.934248999974308</v>
      </c>
    </row>
    <row r="97" spans="1:3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28</v>
      </c>
      <c r="F97" s="4" t="s">
        <v>25</v>
      </c>
      <c r="G97" s="4" t="s">
        <v>25</v>
      </c>
      <c r="H97" s="4" t="s">
        <v>25</v>
      </c>
      <c r="I97" s="5">
        <v>44774</v>
      </c>
      <c r="J97" s="6">
        <v>0</v>
      </c>
      <c r="K97" s="6">
        <v>0</v>
      </c>
      <c r="L97" s="6">
        <v>0.31900000000000001</v>
      </c>
      <c r="M97" s="6">
        <v>0.31900000000000001</v>
      </c>
      <c r="N97" s="6">
        <v>0.31900000000000001</v>
      </c>
      <c r="O97" s="6">
        <v>0.31900000000000001</v>
      </c>
      <c r="P97" s="6">
        <v>1</v>
      </c>
      <c r="Q97" s="4" t="s">
        <v>26</v>
      </c>
      <c r="R97" s="4">
        <v>0</v>
      </c>
      <c r="S97" s="6">
        <v>0</v>
      </c>
      <c r="T97" s="6">
        <v>26</v>
      </c>
      <c r="U97" s="6">
        <v>64</v>
      </c>
      <c r="V97" s="6">
        <f>IF(ISERROR(VLOOKUP($S$97,'TAR FIN'!$A$1:$O$85,15,0)),0,VLOOKUP($S$97,'TAR FIN'!$A$1:$O$85,15,0))</f>
        <v>0</v>
      </c>
      <c r="W97" s="6">
        <f>IF(ISERROR(VLOOKUP($T$97,'TAR FIN'!$A$1:$O$85,15,0)),0,VLOOKUP($T$97,'TAR FIN'!$A$1:$O$85,15,0))</f>
        <v>94.79</v>
      </c>
      <c r="X97" s="6">
        <f>IF(ISERROR(VLOOKUP($U$97,'TAR FIN'!$A$1:$O$85,15,0)),0,VLOOKUP($U$97,'TAR FIN'!$A$1:$O$85,15,0))</f>
        <v>144.82</v>
      </c>
      <c r="Y97" s="6"/>
      <c r="Z97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97" s="6">
        <f>('TE BE'!$AB$12+'TE BF'!$AB$12+'TE CVA'!$AB$12)*(1-CUSTOS!$M$35)</f>
        <v>143.94669369361654</v>
      </c>
      <c r="AB97" s="6">
        <f>$K$97*$V$97</f>
        <v>0</v>
      </c>
      <c r="AC97" s="6">
        <f>$M$97*$W$97</f>
        <v>30.238010000000003</v>
      </c>
      <c r="AD97" s="6">
        <f>$O$97*$X$97</f>
        <v>46.197580000000002</v>
      </c>
      <c r="AE97" s="6">
        <f>$K$97*$Y$97</f>
        <v>0</v>
      </c>
      <c r="AF97" s="6">
        <f ca="1">$M$97*$Z$97</f>
        <v>34.326102468340153</v>
      </c>
      <c r="AG97" s="6">
        <f>$O$97*$AA$97</f>
        <v>45.918995288263673</v>
      </c>
    </row>
    <row r="98" spans="1:33" ht="11.25" customHeight="1" x14ac:dyDescent="0.25">
      <c r="A98" s="4" t="s">
        <v>21</v>
      </c>
      <c r="B98" s="4" t="s">
        <v>22</v>
      </c>
      <c r="C98" s="4" t="s">
        <v>23</v>
      </c>
      <c r="D98" s="4" t="s">
        <v>24</v>
      </c>
      <c r="E98" s="4" t="s">
        <v>29</v>
      </c>
      <c r="F98" s="4" t="s">
        <v>25</v>
      </c>
      <c r="G98" s="4" t="s">
        <v>25</v>
      </c>
      <c r="H98" s="4" t="s">
        <v>25</v>
      </c>
      <c r="I98" s="5">
        <v>44440</v>
      </c>
      <c r="J98" s="6">
        <v>0</v>
      </c>
      <c r="K98" s="6">
        <v>0</v>
      </c>
      <c r="L98" s="6">
        <v>0.12</v>
      </c>
      <c r="M98" s="6">
        <v>0.12</v>
      </c>
      <c r="N98" s="6">
        <v>0.12</v>
      </c>
      <c r="O98" s="6">
        <v>0.12</v>
      </c>
      <c r="P98" s="6">
        <v>0</v>
      </c>
      <c r="Q98" s="4" t="s">
        <v>26</v>
      </c>
      <c r="R98" s="4">
        <v>0</v>
      </c>
      <c r="S98" s="6">
        <v>0</v>
      </c>
      <c r="T98" s="6">
        <v>15</v>
      </c>
      <c r="U98" s="6">
        <v>75</v>
      </c>
      <c r="V98" s="6">
        <f>IF(ISERROR(VLOOKUP($S$98,'TAR FIN'!$A$1:$O$85,15,0)),0,VLOOKUP($S$98,'TAR FIN'!$A$1:$O$85,15,0))</f>
        <v>0</v>
      </c>
      <c r="W98" s="6">
        <f>IF(ISERROR(VLOOKUP($T$98,'TAR FIN'!$A$1:$O$85,15,0)),0,VLOOKUP($T$98,'TAR FIN'!$A$1:$O$85,15,0))</f>
        <v>142.19</v>
      </c>
      <c r="X98" s="6">
        <f>IF(ISERROR(VLOOKUP($U$98,'TAR FIN'!$A$1:$O$85,15,0)),0,VLOOKUP($U$98,'TAR FIN'!$A$1:$O$85,15,0))</f>
        <v>217.24</v>
      </c>
      <c r="Y98" s="6"/>
      <c r="Z98" s="6">
        <f ca="1">('TUSD BE'!$AM$23+'TUSD BF'!$AM$23+'TUSD CVA'!$AM$23-('TUSD BE'!$P$23+'TUSD BF'!$P$23+'TUSD CVA'!$P$23)-('TUSD BE'!$Q$23+'TUSD BF'!$Q$23+'TUSD CVA'!$Q$23)-('TUSD BE'!$R$23+'TUSD BF'!$R$23+'TUSD CVA'!$R$23))*(1-CUSTOS!$M$36)</f>
        <v>161.40800533702267</v>
      </c>
      <c r="AA98" s="6">
        <f>('TE BE'!$AB$13+'TE BF'!$AB$13+'TE CVA'!$AB$13)*(1-CUSTOS!$M$36)</f>
        <v>215.92004054042482</v>
      </c>
      <c r="AB98" s="6">
        <f>$K$98*$V$98</f>
        <v>0</v>
      </c>
      <c r="AC98" s="6">
        <f>$M$98*$W$98</f>
        <v>17.062799999999999</v>
      </c>
      <c r="AD98" s="6">
        <f>$O$98*$X$98</f>
        <v>26.0688</v>
      </c>
      <c r="AE98" s="6">
        <f>$K$98*$Y$98</f>
        <v>0</v>
      </c>
      <c r="AF98" s="6">
        <f ca="1">$M$98*$Z$98</f>
        <v>19.368960640442719</v>
      </c>
      <c r="AG98" s="6">
        <f>$O$98*$AA$98</f>
        <v>25.910404864850978</v>
      </c>
    </row>
    <row r="99" spans="1:33" ht="11.25" customHeight="1" x14ac:dyDescent="0.25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30</v>
      </c>
      <c r="F99" s="4" t="s">
        <v>25</v>
      </c>
      <c r="G99" s="4" t="s">
        <v>25</v>
      </c>
      <c r="H99" s="4" t="s">
        <v>25</v>
      </c>
      <c r="I99" s="5">
        <v>44440</v>
      </c>
      <c r="J99" s="6">
        <v>0</v>
      </c>
      <c r="K99" s="6">
        <v>0</v>
      </c>
      <c r="L99" s="6">
        <v>0.31900000000000001</v>
      </c>
      <c r="M99" s="6">
        <v>0.31900000000000001</v>
      </c>
      <c r="N99" s="6">
        <v>0.31900000000000001</v>
      </c>
      <c r="O99" s="6">
        <v>0.31900000000000001</v>
      </c>
      <c r="P99" s="6">
        <v>1</v>
      </c>
      <c r="Q99" s="4" t="s">
        <v>26</v>
      </c>
      <c r="R99" s="4">
        <v>0</v>
      </c>
      <c r="S99" s="6">
        <v>0</v>
      </c>
      <c r="T99" s="6">
        <v>23</v>
      </c>
      <c r="U99" s="6">
        <v>70</v>
      </c>
      <c r="V99" s="6">
        <f>IF(ISERROR(VLOOKUP($S$99,'TAR FIN'!$A$1:$O$85,15,0)),0,VLOOKUP($S$99,'TAR FIN'!$A$1:$O$85,15,0))</f>
        <v>0</v>
      </c>
      <c r="W99" s="6">
        <f>IF(ISERROR(VLOOKUP($T$99,'TAR FIN'!$A$1:$O$85,15,0)),0,VLOOKUP($T$99,'TAR FIN'!$A$1:$O$85,15,0))</f>
        <v>157.99</v>
      </c>
      <c r="X99" s="6">
        <f>IF(ISERROR(VLOOKUP($U$99,'TAR FIN'!$A$1:$O$85,15,0)),0,VLOOKUP($U$99,'TAR FIN'!$A$1:$O$85,15,0))</f>
        <v>241.37</v>
      </c>
      <c r="Y99" s="6"/>
      <c r="Z99" s="6">
        <f ca="1">('TUSD BE'!$AM$24+'TUSD BF'!$AM$24+'TUSD CVA'!$AM$24-('TUSD BE'!$P$24+'TUSD BF'!$P$24+'TUSD CVA'!$P$24)-('TUSD BE'!$Q$24+'TUSD BF'!$Q$24+'TUSD CVA'!$Q$24)-('TUSD BE'!$R$24+'TUSD BF'!$R$24+'TUSD CVA'!$R$24))*(1-CUSTOS!$M$37)</f>
        <v>179.3422281522474</v>
      </c>
      <c r="AA99" s="6">
        <f>('TE BE'!$AB$14+'TE BF'!$AB$14+'TE CVA'!$AB$14)*(1-CUSTOS!$M$37)</f>
        <v>239.91115615602757</v>
      </c>
      <c r="AB99" s="6">
        <f>$K$99*$V$99</f>
        <v>0</v>
      </c>
      <c r="AC99" s="6">
        <f>$M$99*$W$99</f>
        <v>50.398810000000005</v>
      </c>
      <c r="AD99" s="6">
        <f>$O$99*$X$99</f>
        <v>76.997030000000009</v>
      </c>
      <c r="AE99" s="6">
        <f>$K$99*$Y$99</f>
        <v>0</v>
      </c>
      <c r="AF99" s="6">
        <f ca="1">$M$99*$Z$99</f>
        <v>57.210170780566919</v>
      </c>
      <c r="AG99" s="6">
        <f>$O$99*$AA$99</f>
        <v>76.531658813772793</v>
      </c>
    </row>
    <row r="100" spans="1:33" ht="11.25" customHeight="1" x14ac:dyDescent="0.25">
      <c r="A100" s="4" t="s">
        <v>21</v>
      </c>
      <c r="B100" s="4" t="s">
        <v>39</v>
      </c>
      <c r="C100" s="4" t="s">
        <v>23</v>
      </c>
      <c r="D100" s="4" t="s">
        <v>40</v>
      </c>
      <c r="E100" s="4" t="s">
        <v>25</v>
      </c>
      <c r="F100" s="4" t="s">
        <v>25</v>
      </c>
      <c r="G100" s="4" t="s">
        <v>25</v>
      </c>
      <c r="H100" s="4" t="s">
        <v>25</v>
      </c>
      <c r="I100" s="5">
        <v>44440</v>
      </c>
      <c r="J100" s="6">
        <v>0</v>
      </c>
      <c r="K100" s="6">
        <v>0</v>
      </c>
      <c r="L100" s="6">
        <v>54.149000000000001</v>
      </c>
      <c r="M100" s="6">
        <v>54.149000000000001</v>
      </c>
      <c r="N100" s="6">
        <v>54.149000000000001</v>
      </c>
      <c r="O100" s="6">
        <v>54.149000000000001</v>
      </c>
      <c r="P100" s="6">
        <v>161</v>
      </c>
      <c r="Q100" s="4" t="s">
        <v>26</v>
      </c>
      <c r="R100" s="4">
        <v>0</v>
      </c>
      <c r="S100" s="6">
        <v>0</v>
      </c>
      <c r="T100" s="6">
        <v>33</v>
      </c>
      <c r="U100" s="6">
        <v>66</v>
      </c>
      <c r="V100" s="6">
        <f>IF(ISERROR(VLOOKUP($S$100,'TAR FIN'!$A$1:$O$85,15,0)),0,VLOOKUP($S$100,'TAR FIN'!$A$1:$O$85,15,0))</f>
        <v>0</v>
      </c>
      <c r="W100" s="6">
        <f>IF(ISERROR(VLOOKUP($T$100,'TAR FIN'!$A$1:$O$85,15,0)),0,VLOOKUP($T$100,'TAR FIN'!$A$1:$O$85,15,0))</f>
        <v>195.69</v>
      </c>
      <c r="X100" s="6">
        <f>IF(ISERROR(VLOOKUP($U$100,'TAR FIN'!$A$1:$O$85,15,0)),0,VLOOKUP($U$100,'TAR FIN'!$A$1:$O$85,15,0))</f>
        <v>212.41</v>
      </c>
      <c r="Y100" s="6"/>
      <c r="Z100" s="6">
        <f ca="1">('TUSD BE'!$AM$33+'TUSD BF'!$AM$33+'TUSD CVA'!$AM$33)*(1-CUSTOS!$M$38)</f>
        <v>262.76076138596557</v>
      </c>
      <c r="AA100" s="6">
        <f>('TE BE'!$AB$23+'TE BF'!$AB$23+'TE CVA'!$AB$23)*(1-CUSTOS!$M$38)</f>
        <v>225.51648678666589</v>
      </c>
      <c r="AB100" s="6">
        <f>$K$100*$V$100</f>
        <v>0</v>
      </c>
      <c r="AC100" s="6">
        <f>$M$100*$W$100</f>
        <v>10596.417810000001</v>
      </c>
      <c r="AD100" s="6">
        <f>$O$100*$X$100</f>
        <v>11501.78909</v>
      </c>
      <c r="AE100" s="6">
        <f>$K$100*$Y$100</f>
        <v>0</v>
      </c>
      <c r="AF100" s="6">
        <f ca="1">$M$100*$Z$100</f>
        <v>14228.23246828865</v>
      </c>
      <c r="AG100" s="6">
        <f>$O$100*$AA$100</f>
        <v>12211.492243011171</v>
      </c>
    </row>
    <row r="101" spans="1:33" ht="11.25" customHeight="1" x14ac:dyDescent="0.25">
      <c r="A101" s="4" t="s">
        <v>21</v>
      </c>
      <c r="B101" s="4" t="s">
        <v>39</v>
      </c>
      <c r="C101" s="4" t="s">
        <v>23</v>
      </c>
      <c r="D101" s="4" t="s">
        <v>40</v>
      </c>
      <c r="E101" s="4" t="s">
        <v>25</v>
      </c>
      <c r="F101" s="4" t="s">
        <v>25</v>
      </c>
      <c r="G101" s="4" t="s">
        <v>25</v>
      </c>
      <c r="H101" s="4" t="s">
        <v>25</v>
      </c>
      <c r="I101" s="5">
        <v>44470</v>
      </c>
      <c r="J101" s="6">
        <v>0</v>
      </c>
      <c r="K101" s="6">
        <v>0</v>
      </c>
      <c r="L101" s="6">
        <v>53.856999999999999</v>
      </c>
      <c r="M101" s="6">
        <v>53.856999999999999</v>
      </c>
      <c r="N101" s="6">
        <v>53.856999999999999</v>
      </c>
      <c r="O101" s="6">
        <v>53.856999999999999</v>
      </c>
      <c r="P101" s="6">
        <v>161</v>
      </c>
      <c r="Q101" s="4" t="s">
        <v>26</v>
      </c>
      <c r="R101" s="4">
        <v>0</v>
      </c>
      <c r="S101" s="6">
        <v>0</v>
      </c>
      <c r="T101" s="6">
        <v>33</v>
      </c>
      <c r="U101" s="6">
        <v>66</v>
      </c>
      <c r="V101" s="6">
        <f>IF(ISERROR(VLOOKUP($S$101,'TAR FIN'!$A$1:$O$85,15,0)),0,VLOOKUP($S$101,'TAR FIN'!$A$1:$O$85,15,0))</f>
        <v>0</v>
      </c>
      <c r="W101" s="6">
        <f>IF(ISERROR(VLOOKUP($T$101,'TAR FIN'!$A$1:$O$85,15,0)),0,VLOOKUP($T$101,'TAR FIN'!$A$1:$O$85,15,0))</f>
        <v>195.69</v>
      </c>
      <c r="X101" s="6">
        <f>IF(ISERROR(VLOOKUP($U$101,'TAR FIN'!$A$1:$O$85,15,0)),0,VLOOKUP($U$101,'TAR FIN'!$A$1:$O$85,15,0))</f>
        <v>212.41</v>
      </c>
      <c r="Y101" s="6"/>
      <c r="Z101" s="6">
        <f ca="1">('TUSD BE'!$AM$33+'TUSD BF'!$AM$33+'TUSD CVA'!$AM$33)*(1-CUSTOS!$M$38)</f>
        <v>262.76076138596557</v>
      </c>
      <c r="AA101" s="6">
        <f>('TE BE'!$AB$23+'TE BF'!$AB$23+'TE CVA'!$AB$23)*(1-CUSTOS!$M$38)</f>
        <v>225.51648678666589</v>
      </c>
      <c r="AB101" s="6">
        <f>$K$101*$V$101</f>
        <v>0</v>
      </c>
      <c r="AC101" s="6">
        <f>$M$101*$W$101</f>
        <v>10539.276330000001</v>
      </c>
      <c r="AD101" s="6">
        <f>$O$101*$X$101</f>
        <v>11439.765369999999</v>
      </c>
      <c r="AE101" s="6">
        <f>$K$101*$Y$101</f>
        <v>0</v>
      </c>
      <c r="AF101" s="6">
        <f ca="1">$M$101*$Z$101</f>
        <v>14151.506325963946</v>
      </c>
      <c r="AG101" s="6">
        <f>$O$101*$AA$101</f>
        <v>12145.641428869465</v>
      </c>
    </row>
    <row r="102" spans="1:33" ht="11.25" customHeight="1" x14ac:dyDescent="0.25">
      <c r="A102" s="4" t="s">
        <v>21</v>
      </c>
      <c r="B102" s="4" t="s">
        <v>39</v>
      </c>
      <c r="C102" s="4" t="s">
        <v>23</v>
      </c>
      <c r="D102" s="4" t="s">
        <v>40</v>
      </c>
      <c r="E102" s="4" t="s">
        <v>25</v>
      </c>
      <c r="F102" s="4" t="s">
        <v>25</v>
      </c>
      <c r="G102" s="4" t="s">
        <v>25</v>
      </c>
      <c r="H102" s="4" t="s">
        <v>25</v>
      </c>
      <c r="I102" s="5">
        <v>44501</v>
      </c>
      <c r="J102" s="6">
        <v>0</v>
      </c>
      <c r="K102" s="6">
        <v>0</v>
      </c>
      <c r="L102" s="6">
        <v>54.054000000000002</v>
      </c>
      <c r="M102" s="6">
        <v>54.054000000000002</v>
      </c>
      <c r="N102" s="6">
        <v>54.054000000000002</v>
      </c>
      <c r="O102" s="6">
        <v>54.054000000000002</v>
      </c>
      <c r="P102" s="6">
        <v>170</v>
      </c>
      <c r="Q102" s="4" t="s">
        <v>26</v>
      </c>
      <c r="R102" s="4">
        <v>0</v>
      </c>
      <c r="S102" s="6">
        <v>0</v>
      </c>
      <c r="T102" s="6">
        <v>33</v>
      </c>
      <c r="U102" s="6">
        <v>66</v>
      </c>
      <c r="V102" s="6">
        <f>IF(ISERROR(VLOOKUP($S$102,'TAR FIN'!$A$1:$O$85,15,0)),0,VLOOKUP($S$102,'TAR FIN'!$A$1:$O$85,15,0))</f>
        <v>0</v>
      </c>
      <c r="W102" s="6">
        <f>IF(ISERROR(VLOOKUP($T$102,'TAR FIN'!$A$1:$O$85,15,0)),0,VLOOKUP($T$102,'TAR FIN'!$A$1:$O$85,15,0))</f>
        <v>195.69</v>
      </c>
      <c r="X102" s="6">
        <f>IF(ISERROR(VLOOKUP($U$102,'TAR FIN'!$A$1:$O$85,15,0)),0,VLOOKUP($U$102,'TAR FIN'!$A$1:$O$85,15,0))</f>
        <v>212.41</v>
      </c>
      <c r="Y102" s="6"/>
      <c r="Z102" s="6">
        <f ca="1">('TUSD BE'!$AM$33+'TUSD BF'!$AM$33+'TUSD CVA'!$AM$33)*(1-CUSTOS!$M$38)</f>
        <v>262.76076138596557</v>
      </c>
      <c r="AA102" s="6">
        <f>('TE BE'!$AB$23+'TE BF'!$AB$23+'TE CVA'!$AB$23)*(1-CUSTOS!$M$38)</f>
        <v>225.51648678666589</v>
      </c>
      <c r="AB102" s="6">
        <f>$K$102*$V$102</f>
        <v>0</v>
      </c>
      <c r="AC102" s="6">
        <f>$M$102*$W$102</f>
        <v>10577.82726</v>
      </c>
      <c r="AD102" s="6">
        <f>$O$102*$X$102</f>
        <v>11481.610140000001</v>
      </c>
      <c r="AE102" s="6">
        <f>$K$102*$Y$102</f>
        <v>0</v>
      </c>
      <c r="AF102" s="6">
        <f ca="1">$M$102*$Z$102</f>
        <v>14203.270195956984</v>
      </c>
      <c r="AG102" s="6">
        <f>$O$102*$AA$102</f>
        <v>12190.068176766439</v>
      </c>
    </row>
    <row r="103" spans="1:33" ht="11.25" customHeight="1" x14ac:dyDescent="0.25">
      <c r="A103" s="4" t="s">
        <v>21</v>
      </c>
      <c r="B103" s="4" t="s">
        <v>39</v>
      </c>
      <c r="C103" s="4" t="s">
        <v>23</v>
      </c>
      <c r="D103" s="4" t="s">
        <v>40</v>
      </c>
      <c r="E103" s="4" t="s">
        <v>25</v>
      </c>
      <c r="F103" s="4" t="s">
        <v>25</v>
      </c>
      <c r="G103" s="4" t="s">
        <v>25</v>
      </c>
      <c r="H103" s="4" t="s">
        <v>25</v>
      </c>
      <c r="I103" s="5">
        <v>44531</v>
      </c>
      <c r="J103" s="6">
        <v>0</v>
      </c>
      <c r="K103" s="6">
        <v>0</v>
      </c>
      <c r="L103" s="6">
        <v>55.401000000000003</v>
      </c>
      <c r="M103" s="6">
        <v>55.401000000000003</v>
      </c>
      <c r="N103" s="6">
        <v>55.401000000000003</v>
      </c>
      <c r="O103" s="6">
        <v>55.401000000000003</v>
      </c>
      <c r="P103" s="6">
        <v>168</v>
      </c>
      <c r="Q103" s="4" t="s">
        <v>26</v>
      </c>
      <c r="R103" s="4">
        <v>0</v>
      </c>
      <c r="S103" s="6">
        <v>0</v>
      </c>
      <c r="T103" s="6">
        <v>33</v>
      </c>
      <c r="U103" s="6">
        <v>66</v>
      </c>
      <c r="V103" s="6">
        <f>IF(ISERROR(VLOOKUP($S$103,'TAR FIN'!$A$1:$O$85,15,0)),0,VLOOKUP($S$103,'TAR FIN'!$A$1:$O$85,15,0))</f>
        <v>0</v>
      </c>
      <c r="W103" s="6">
        <f>IF(ISERROR(VLOOKUP($T$103,'TAR FIN'!$A$1:$O$85,15,0)),0,VLOOKUP($T$103,'TAR FIN'!$A$1:$O$85,15,0))</f>
        <v>195.69</v>
      </c>
      <c r="X103" s="6">
        <f>IF(ISERROR(VLOOKUP($U$103,'TAR FIN'!$A$1:$O$85,15,0)),0,VLOOKUP($U$103,'TAR FIN'!$A$1:$O$85,15,0))</f>
        <v>212.41</v>
      </c>
      <c r="Y103" s="6"/>
      <c r="Z103" s="6">
        <f ca="1">('TUSD BE'!$AM$33+'TUSD BF'!$AM$33+'TUSD CVA'!$AM$33)*(1-CUSTOS!$M$38)</f>
        <v>262.76076138596557</v>
      </c>
      <c r="AA103" s="6">
        <f>('TE BE'!$AB$23+'TE BF'!$AB$23+'TE CVA'!$AB$23)*(1-CUSTOS!$M$38)</f>
        <v>225.51648678666589</v>
      </c>
      <c r="AB103" s="6">
        <f>$K$103*$V$103</f>
        <v>0</v>
      </c>
      <c r="AC103" s="6">
        <f>$M$103*$W$103</f>
        <v>10841.421690000001</v>
      </c>
      <c r="AD103" s="6">
        <f>$O$103*$X$103</f>
        <v>11767.726410000001</v>
      </c>
      <c r="AE103" s="6">
        <f>$K$103*$Y$103</f>
        <v>0</v>
      </c>
      <c r="AF103" s="6">
        <f ca="1">$M$103*$Z$103</f>
        <v>14557.208941543879</v>
      </c>
      <c r="AG103" s="6">
        <f>$O$103*$AA$103</f>
        <v>12493.838884468078</v>
      </c>
    </row>
    <row r="104" spans="1:33" ht="11.25" customHeight="1" x14ac:dyDescent="0.25">
      <c r="A104" s="4" t="s">
        <v>21</v>
      </c>
      <c r="B104" s="4" t="s">
        <v>39</v>
      </c>
      <c r="C104" s="4" t="s">
        <v>23</v>
      </c>
      <c r="D104" s="4" t="s">
        <v>40</v>
      </c>
      <c r="E104" s="4" t="s">
        <v>25</v>
      </c>
      <c r="F104" s="4" t="s">
        <v>25</v>
      </c>
      <c r="G104" s="4" t="s">
        <v>25</v>
      </c>
      <c r="H104" s="4" t="s">
        <v>25</v>
      </c>
      <c r="I104" s="5">
        <v>44562</v>
      </c>
      <c r="J104" s="6">
        <v>0</v>
      </c>
      <c r="K104" s="6">
        <v>0</v>
      </c>
      <c r="L104" s="6">
        <v>61.930999999999997</v>
      </c>
      <c r="M104" s="6">
        <v>61.930999999999997</v>
      </c>
      <c r="N104" s="6">
        <v>61.930999999999997</v>
      </c>
      <c r="O104" s="6">
        <v>61.930999999999997</v>
      </c>
      <c r="P104" s="6">
        <v>168</v>
      </c>
      <c r="Q104" s="4" t="s">
        <v>26</v>
      </c>
      <c r="R104" s="4">
        <v>0</v>
      </c>
      <c r="S104" s="6">
        <v>0</v>
      </c>
      <c r="T104" s="6">
        <v>33</v>
      </c>
      <c r="U104" s="6">
        <v>66</v>
      </c>
      <c r="V104" s="6">
        <f>IF(ISERROR(VLOOKUP($S$104,'TAR FIN'!$A$1:$O$85,15,0)),0,VLOOKUP($S$104,'TAR FIN'!$A$1:$O$85,15,0))</f>
        <v>0</v>
      </c>
      <c r="W104" s="6">
        <f>IF(ISERROR(VLOOKUP($T$104,'TAR FIN'!$A$1:$O$85,15,0)),0,VLOOKUP($T$104,'TAR FIN'!$A$1:$O$85,15,0))</f>
        <v>195.69</v>
      </c>
      <c r="X104" s="6">
        <f>IF(ISERROR(VLOOKUP($U$104,'TAR FIN'!$A$1:$O$85,15,0)),0,VLOOKUP($U$104,'TAR FIN'!$A$1:$O$85,15,0))</f>
        <v>212.41</v>
      </c>
      <c r="Y104" s="6"/>
      <c r="Z104" s="6">
        <f ca="1">('TUSD BE'!$AM$33+'TUSD BF'!$AM$33+'TUSD CVA'!$AM$33)*(1-CUSTOS!$M$38)</f>
        <v>262.76076138596557</v>
      </c>
      <c r="AA104" s="6">
        <f>('TE BE'!$AB$23+'TE BF'!$AB$23+'TE CVA'!$AB$23)*(1-CUSTOS!$M$38)</f>
        <v>225.51648678666589</v>
      </c>
      <c r="AB104" s="6">
        <f>$K$104*$V$104</f>
        <v>0</v>
      </c>
      <c r="AC104" s="6">
        <f>$M$104*$W$104</f>
        <v>12119.277389999999</v>
      </c>
      <c r="AD104" s="6">
        <f>$O$104*$X$104</f>
        <v>13154.763709999999</v>
      </c>
      <c r="AE104" s="6">
        <f>$K$104*$Y$104</f>
        <v>0</v>
      </c>
      <c r="AF104" s="6">
        <f ca="1">$M$104*$Z$104</f>
        <v>16273.036713394233</v>
      </c>
      <c r="AG104" s="6">
        <f>$O$104*$AA$104</f>
        <v>13966.461543185005</v>
      </c>
    </row>
    <row r="105" spans="1:33" ht="11.25" customHeight="1" x14ac:dyDescent="0.25">
      <c r="A105" s="4" t="s">
        <v>21</v>
      </c>
      <c r="B105" s="4" t="s">
        <v>39</v>
      </c>
      <c r="C105" s="4" t="s">
        <v>23</v>
      </c>
      <c r="D105" s="4" t="s">
        <v>40</v>
      </c>
      <c r="E105" s="4" t="s">
        <v>25</v>
      </c>
      <c r="F105" s="4" t="s">
        <v>25</v>
      </c>
      <c r="G105" s="4" t="s">
        <v>25</v>
      </c>
      <c r="H105" s="4" t="s">
        <v>25</v>
      </c>
      <c r="I105" s="5">
        <v>44593</v>
      </c>
      <c r="J105" s="6">
        <v>0</v>
      </c>
      <c r="K105" s="6">
        <v>0</v>
      </c>
      <c r="L105" s="6">
        <v>61.552</v>
      </c>
      <c r="M105" s="6">
        <v>61.552</v>
      </c>
      <c r="N105" s="6">
        <v>61.552</v>
      </c>
      <c r="O105" s="6">
        <v>61.552</v>
      </c>
      <c r="P105" s="6">
        <v>168</v>
      </c>
      <c r="Q105" s="4" t="s">
        <v>26</v>
      </c>
      <c r="R105" s="4">
        <v>0</v>
      </c>
      <c r="S105" s="6">
        <v>0</v>
      </c>
      <c r="T105" s="6">
        <v>33</v>
      </c>
      <c r="U105" s="6">
        <v>66</v>
      </c>
      <c r="V105" s="6">
        <f>IF(ISERROR(VLOOKUP($S$105,'TAR FIN'!$A$1:$O$85,15,0)),0,VLOOKUP($S$105,'TAR FIN'!$A$1:$O$85,15,0))</f>
        <v>0</v>
      </c>
      <c r="W105" s="6">
        <f>IF(ISERROR(VLOOKUP($T$105,'TAR FIN'!$A$1:$O$85,15,0)),0,VLOOKUP($T$105,'TAR FIN'!$A$1:$O$85,15,0))</f>
        <v>195.69</v>
      </c>
      <c r="X105" s="6">
        <f>IF(ISERROR(VLOOKUP($U$105,'TAR FIN'!$A$1:$O$85,15,0)),0,VLOOKUP($U$105,'TAR FIN'!$A$1:$O$85,15,0))</f>
        <v>212.41</v>
      </c>
      <c r="Y105" s="6"/>
      <c r="Z105" s="6">
        <f ca="1">('TUSD BE'!$AM$33+'TUSD BF'!$AM$33+'TUSD CVA'!$AM$33)*(1-CUSTOS!$M$38)</f>
        <v>262.76076138596557</v>
      </c>
      <c r="AA105" s="6">
        <f>('TE BE'!$AB$23+'TE BF'!$AB$23+'TE CVA'!$AB$23)*(1-CUSTOS!$M$38)</f>
        <v>225.51648678666589</v>
      </c>
      <c r="AB105" s="6">
        <f>$K$105*$V$105</f>
        <v>0</v>
      </c>
      <c r="AC105" s="6">
        <f>$M$105*$W$105</f>
        <v>12045.11088</v>
      </c>
      <c r="AD105" s="6">
        <f>$O$105*$X$105</f>
        <v>13074.260319999999</v>
      </c>
      <c r="AE105" s="6">
        <f>$K$105*$Y$105</f>
        <v>0</v>
      </c>
      <c r="AF105" s="6">
        <f ca="1">$M$105*$Z$105</f>
        <v>16173.450384828953</v>
      </c>
      <c r="AG105" s="6">
        <f>$O$105*$AA$105</f>
        <v>13880.99079469286</v>
      </c>
    </row>
    <row r="106" spans="1:33" ht="11.25" customHeight="1" x14ac:dyDescent="0.25">
      <c r="A106" s="4" t="s">
        <v>21</v>
      </c>
      <c r="B106" s="4" t="s">
        <v>39</v>
      </c>
      <c r="C106" s="4" t="s">
        <v>23</v>
      </c>
      <c r="D106" s="4" t="s">
        <v>40</v>
      </c>
      <c r="E106" s="4" t="s">
        <v>25</v>
      </c>
      <c r="F106" s="4" t="s">
        <v>25</v>
      </c>
      <c r="G106" s="4" t="s">
        <v>25</v>
      </c>
      <c r="H106" s="4" t="s">
        <v>25</v>
      </c>
      <c r="I106" s="5">
        <v>44621</v>
      </c>
      <c r="J106" s="6">
        <v>0</v>
      </c>
      <c r="K106" s="6">
        <v>0</v>
      </c>
      <c r="L106" s="6">
        <v>56.143999999999998</v>
      </c>
      <c r="M106" s="6">
        <v>56.143999999999998</v>
      </c>
      <c r="N106" s="6">
        <v>56.143999999999998</v>
      </c>
      <c r="O106" s="6">
        <v>56.143999999999998</v>
      </c>
      <c r="P106" s="6">
        <v>159</v>
      </c>
      <c r="Q106" s="4" t="s">
        <v>26</v>
      </c>
      <c r="R106" s="4">
        <v>0</v>
      </c>
      <c r="S106" s="6">
        <v>0</v>
      </c>
      <c r="T106" s="6">
        <v>33</v>
      </c>
      <c r="U106" s="6">
        <v>66</v>
      </c>
      <c r="V106" s="6">
        <f>IF(ISERROR(VLOOKUP($S$106,'TAR FIN'!$A$1:$O$85,15,0)),0,VLOOKUP($S$106,'TAR FIN'!$A$1:$O$85,15,0))</f>
        <v>0</v>
      </c>
      <c r="W106" s="6">
        <f>IF(ISERROR(VLOOKUP($T$106,'TAR FIN'!$A$1:$O$85,15,0)),0,VLOOKUP($T$106,'TAR FIN'!$A$1:$O$85,15,0))</f>
        <v>195.69</v>
      </c>
      <c r="X106" s="6">
        <f>IF(ISERROR(VLOOKUP($U$106,'TAR FIN'!$A$1:$O$85,15,0)),0,VLOOKUP($U$106,'TAR FIN'!$A$1:$O$85,15,0))</f>
        <v>212.41</v>
      </c>
      <c r="Y106" s="6"/>
      <c r="Z106" s="6">
        <f ca="1">('TUSD BE'!$AM$33+'TUSD BF'!$AM$33+'TUSD CVA'!$AM$33)*(1-CUSTOS!$M$38)</f>
        <v>262.76076138596557</v>
      </c>
      <c r="AA106" s="6">
        <f>('TE BE'!$AB$23+'TE BF'!$AB$23+'TE CVA'!$AB$23)*(1-CUSTOS!$M$38)</f>
        <v>225.51648678666589</v>
      </c>
      <c r="AB106" s="6">
        <f>$K$106*$V$106</f>
        <v>0</v>
      </c>
      <c r="AC106" s="6">
        <f>$M$106*$W$106</f>
        <v>10986.81936</v>
      </c>
      <c r="AD106" s="6">
        <f>$O$106*$X$106</f>
        <v>11925.547039999999</v>
      </c>
      <c r="AE106" s="6">
        <f>$K$106*$Y$106</f>
        <v>0</v>
      </c>
      <c r="AF106" s="6">
        <f ca="1">$M$106*$Z$106</f>
        <v>14752.440187253651</v>
      </c>
      <c r="AG106" s="6">
        <f>$O$106*$AA$106</f>
        <v>12661.39763415057</v>
      </c>
    </row>
    <row r="107" spans="1:33" ht="11.25" customHeight="1" x14ac:dyDescent="0.25">
      <c r="A107" s="4" t="s">
        <v>21</v>
      </c>
      <c r="B107" s="4" t="s">
        <v>39</v>
      </c>
      <c r="C107" s="4" t="s">
        <v>23</v>
      </c>
      <c r="D107" s="4" t="s">
        <v>40</v>
      </c>
      <c r="E107" s="4" t="s">
        <v>25</v>
      </c>
      <c r="F107" s="4" t="s">
        <v>25</v>
      </c>
      <c r="G107" s="4" t="s">
        <v>25</v>
      </c>
      <c r="H107" s="4" t="s">
        <v>25</v>
      </c>
      <c r="I107" s="5">
        <v>44652</v>
      </c>
      <c r="J107" s="6">
        <v>0</v>
      </c>
      <c r="K107" s="6">
        <v>0</v>
      </c>
      <c r="L107" s="6">
        <v>58.720999999999997</v>
      </c>
      <c r="M107" s="6">
        <v>58.720999999999997</v>
      </c>
      <c r="N107" s="6">
        <v>58.720999999999997</v>
      </c>
      <c r="O107" s="6">
        <v>58.720999999999997</v>
      </c>
      <c r="P107" s="6">
        <v>159</v>
      </c>
      <c r="Q107" s="4" t="s">
        <v>26</v>
      </c>
      <c r="R107" s="4">
        <v>0</v>
      </c>
      <c r="S107" s="6">
        <v>0</v>
      </c>
      <c r="T107" s="6">
        <v>33</v>
      </c>
      <c r="U107" s="6">
        <v>66</v>
      </c>
      <c r="V107" s="6">
        <f>IF(ISERROR(VLOOKUP($S$107,'TAR FIN'!$A$1:$O$85,15,0)),0,VLOOKUP($S$107,'TAR FIN'!$A$1:$O$85,15,0))</f>
        <v>0</v>
      </c>
      <c r="W107" s="6">
        <f>IF(ISERROR(VLOOKUP($T$107,'TAR FIN'!$A$1:$O$85,15,0)),0,VLOOKUP($T$107,'TAR FIN'!$A$1:$O$85,15,0))</f>
        <v>195.69</v>
      </c>
      <c r="X107" s="6">
        <f>IF(ISERROR(VLOOKUP($U$107,'TAR FIN'!$A$1:$O$85,15,0)),0,VLOOKUP($U$107,'TAR FIN'!$A$1:$O$85,15,0))</f>
        <v>212.41</v>
      </c>
      <c r="Y107" s="6"/>
      <c r="Z107" s="6">
        <f ca="1">('TUSD BE'!$AM$33+'TUSD BF'!$AM$33+'TUSD CVA'!$AM$33)*(1-CUSTOS!$M$38)</f>
        <v>262.76076138596557</v>
      </c>
      <c r="AA107" s="6">
        <f>('TE BE'!$AB$23+'TE BF'!$AB$23+'TE CVA'!$AB$23)*(1-CUSTOS!$M$38)</f>
        <v>225.51648678666589</v>
      </c>
      <c r="AB107" s="6">
        <f>$K$107*$V$107</f>
        <v>0</v>
      </c>
      <c r="AC107" s="6">
        <f>$M$107*$W$107</f>
        <v>11491.11249</v>
      </c>
      <c r="AD107" s="6">
        <f>$O$107*$X$107</f>
        <v>12472.927609999999</v>
      </c>
      <c r="AE107" s="6">
        <f>$K$107*$Y$107</f>
        <v>0</v>
      </c>
      <c r="AF107" s="6">
        <f ca="1">$M$107*$Z$107</f>
        <v>15429.574669345284</v>
      </c>
      <c r="AG107" s="6">
        <f>$O$107*$AA$107</f>
        <v>13242.553620599807</v>
      </c>
    </row>
    <row r="108" spans="1:33" ht="11.25" customHeight="1" x14ac:dyDescent="0.25">
      <c r="A108" s="4" t="s">
        <v>21</v>
      </c>
      <c r="B108" s="4" t="s">
        <v>39</v>
      </c>
      <c r="C108" s="4" t="s">
        <v>23</v>
      </c>
      <c r="D108" s="4" t="s">
        <v>40</v>
      </c>
      <c r="E108" s="4" t="s">
        <v>25</v>
      </c>
      <c r="F108" s="4" t="s">
        <v>25</v>
      </c>
      <c r="G108" s="4" t="s">
        <v>25</v>
      </c>
      <c r="H108" s="4" t="s">
        <v>25</v>
      </c>
      <c r="I108" s="5">
        <v>44682</v>
      </c>
      <c r="J108" s="6">
        <v>0</v>
      </c>
      <c r="K108" s="6">
        <v>0</v>
      </c>
      <c r="L108" s="6">
        <v>51.926000000000002</v>
      </c>
      <c r="M108" s="6">
        <v>51.926000000000002</v>
      </c>
      <c r="N108" s="6">
        <v>51.926000000000002</v>
      </c>
      <c r="O108" s="6">
        <v>51.926000000000002</v>
      </c>
      <c r="P108" s="6">
        <v>159</v>
      </c>
      <c r="Q108" s="4" t="s">
        <v>26</v>
      </c>
      <c r="R108" s="4">
        <v>0</v>
      </c>
      <c r="S108" s="6">
        <v>0</v>
      </c>
      <c r="T108" s="6">
        <v>33</v>
      </c>
      <c r="U108" s="6">
        <v>66</v>
      </c>
      <c r="V108" s="6">
        <f>IF(ISERROR(VLOOKUP($S$108,'TAR FIN'!$A$1:$O$85,15,0)),0,VLOOKUP($S$108,'TAR FIN'!$A$1:$O$85,15,0))</f>
        <v>0</v>
      </c>
      <c r="W108" s="6">
        <f>IF(ISERROR(VLOOKUP($T$108,'TAR FIN'!$A$1:$O$85,15,0)),0,VLOOKUP($T$108,'TAR FIN'!$A$1:$O$85,15,0))</f>
        <v>195.69</v>
      </c>
      <c r="X108" s="6">
        <f>IF(ISERROR(VLOOKUP($U$108,'TAR FIN'!$A$1:$O$85,15,0)),0,VLOOKUP($U$108,'TAR FIN'!$A$1:$O$85,15,0))</f>
        <v>212.41</v>
      </c>
      <c r="Y108" s="6"/>
      <c r="Z108" s="6">
        <f ca="1">('TUSD BE'!$AM$33+'TUSD BF'!$AM$33+'TUSD CVA'!$AM$33)*(1-CUSTOS!$M$38)</f>
        <v>262.76076138596557</v>
      </c>
      <c r="AA108" s="6">
        <f>('TE BE'!$AB$23+'TE BF'!$AB$23+'TE CVA'!$AB$23)*(1-CUSTOS!$M$38)</f>
        <v>225.51648678666589</v>
      </c>
      <c r="AB108" s="6">
        <f>$K$108*$V$108</f>
        <v>0</v>
      </c>
      <c r="AC108" s="6">
        <f>$M$108*$W$108</f>
        <v>10161.398940000001</v>
      </c>
      <c r="AD108" s="6">
        <f>$O$108*$X$108</f>
        <v>11029.60166</v>
      </c>
      <c r="AE108" s="6">
        <f>$K$108*$Y$108</f>
        <v>0</v>
      </c>
      <c r="AF108" s="6">
        <f ca="1">$M$108*$Z$108</f>
        <v>13644.115295727648</v>
      </c>
      <c r="AG108" s="6">
        <f>$O$108*$AA$108</f>
        <v>11710.169092884413</v>
      </c>
    </row>
    <row r="109" spans="1:33" ht="11.25" customHeight="1" x14ac:dyDescent="0.25">
      <c r="A109" s="4" t="s">
        <v>21</v>
      </c>
      <c r="B109" s="4" t="s">
        <v>39</v>
      </c>
      <c r="C109" s="4" t="s">
        <v>23</v>
      </c>
      <c r="D109" s="4" t="s">
        <v>40</v>
      </c>
      <c r="E109" s="4" t="s">
        <v>25</v>
      </c>
      <c r="F109" s="4" t="s">
        <v>25</v>
      </c>
      <c r="G109" s="4" t="s">
        <v>25</v>
      </c>
      <c r="H109" s="4" t="s">
        <v>25</v>
      </c>
      <c r="I109" s="5">
        <v>44713</v>
      </c>
      <c r="J109" s="6">
        <v>0</v>
      </c>
      <c r="K109" s="6">
        <v>0</v>
      </c>
      <c r="L109" s="6">
        <v>54.735999999999997</v>
      </c>
      <c r="M109" s="6">
        <v>54.735999999999997</v>
      </c>
      <c r="N109" s="6">
        <v>54.735999999999997</v>
      </c>
      <c r="O109" s="6">
        <v>54.735999999999997</v>
      </c>
      <c r="P109" s="6">
        <v>158</v>
      </c>
      <c r="Q109" s="4" t="s">
        <v>26</v>
      </c>
      <c r="R109" s="4">
        <v>0</v>
      </c>
      <c r="S109" s="6">
        <v>0</v>
      </c>
      <c r="T109" s="6">
        <v>33</v>
      </c>
      <c r="U109" s="6">
        <v>66</v>
      </c>
      <c r="V109" s="6">
        <f>IF(ISERROR(VLOOKUP($S$109,'TAR FIN'!$A$1:$O$85,15,0)),0,VLOOKUP($S$109,'TAR FIN'!$A$1:$O$85,15,0))</f>
        <v>0</v>
      </c>
      <c r="W109" s="6">
        <f>IF(ISERROR(VLOOKUP($T$109,'TAR FIN'!$A$1:$O$85,15,0)),0,VLOOKUP($T$109,'TAR FIN'!$A$1:$O$85,15,0))</f>
        <v>195.69</v>
      </c>
      <c r="X109" s="6">
        <f>IF(ISERROR(VLOOKUP($U$109,'TAR FIN'!$A$1:$O$85,15,0)),0,VLOOKUP($U$109,'TAR FIN'!$A$1:$O$85,15,0))</f>
        <v>212.41</v>
      </c>
      <c r="Y109" s="6"/>
      <c r="Z109" s="6">
        <f ca="1">('TUSD BE'!$AM$33+'TUSD BF'!$AM$33+'TUSD CVA'!$AM$33)*(1-CUSTOS!$M$38)</f>
        <v>262.76076138596557</v>
      </c>
      <c r="AA109" s="6">
        <f>('TE BE'!$AB$23+'TE BF'!$AB$23+'TE CVA'!$AB$23)*(1-CUSTOS!$M$38)</f>
        <v>225.51648678666589</v>
      </c>
      <c r="AB109" s="6">
        <f>$K$109*$V$109</f>
        <v>0</v>
      </c>
      <c r="AC109" s="6">
        <f>$M$109*$W$109</f>
        <v>10711.287839999999</v>
      </c>
      <c r="AD109" s="6">
        <f>$O$109*$X$109</f>
        <v>11626.473759999999</v>
      </c>
      <c r="AE109" s="6">
        <f>$K$109*$Y$109</f>
        <v>0</v>
      </c>
      <c r="AF109" s="6">
        <f ca="1">$M$109*$Z$109</f>
        <v>14382.47303522221</v>
      </c>
      <c r="AG109" s="6">
        <f>$O$109*$AA$109</f>
        <v>12343.870420754944</v>
      </c>
    </row>
    <row r="110" spans="1:33" ht="11.25" customHeight="1" x14ac:dyDescent="0.25">
      <c r="A110" s="4" t="s">
        <v>21</v>
      </c>
      <c r="B110" s="4" t="s">
        <v>39</v>
      </c>
      <c r="C110" s="4" t="s">
        <v>23</v>
      </c>
      <c r="D110" s="4" t="s">
        <v>40</v>
      </c>
      <c r="E110" s="4" t="s">
        <v>25</v>
      </c>
      <c r="F110" s="4" t="s">
        <v>25</v>
      </c>
      <c r="G110" s="4" t="s">
        <v>25</v>
      </c>
      <c r="H110" s="4" t="s">
        <v>25</v>
      </c>
      <c r="I110" s="5">
        <v>44743</v>
      </c>
      <c r="J110" s="6">
        <v>0</v>
      </c>
      <c r="K110" s="6">
        <v>0</v>
      </c>
      <c r="L110" s="6">
        <v>53.656999999999996</v>
      </c>
      <c r="M110" s="6">
        <v>53.656999999999996</v>
      </c>
      <c r="N110" s="6">
        <v>53.656999999999996</v>
      </c>
      <c r="O110" s="6">
        <v>53.656999999999996</v>
      </c>
      <c r="P110" s="6">
        <v>158</v>
      </c>
      <c r="Q110" s="4" t="s">
        <v>26</v>
      </c>
      <c r="R110" s="4">
        <v>0</v>
      </c>
      <c r="S110" s="6">
        <v>0</v>
      </c>
      <c r="T110" s="6">
        <v>33</v>
      </c>
      <c r="U110" s="6">
        <v>66</v>
      </c>
      <c r="V110" s="6">
        <f>IF(ISERROR(VLOOKUP($S$110,'TAR FIN'!$A$1:$O$85,15,0)),0,VLOOKUP($S$110,'TAR FIN'!$A$1:$O$85,15,0))</f>
        <v>0</v>
      </c>
      <c r="W110" s="6">
        <f>IF(ISERROR(VLOOKUP($T$110,'TAR FIN'!$A$1:$O$85,15,0)),0,VLOOKUP($T$110,'TAR FIN'!$A$1:$O$85,15,0))</f>
        <v>195.69</v>
      </c>
      <c r="X110" s="6">
        <f>IF(ISERROR(VLOOKUP($U$110,'TAR FIN'!$A$1:$O$85,15,0)),0,VLOOKUP($U$110,'TAR FIN'!$A$1:$O$85,15,0))</f>
        <v>212.41</v>
      </c>
      <c r="Y110" s="6"/>
      <c r="Z110" s="6">
        <f ca="1">('TUSD BE'!$AM$33+'TUSD BF'!$AM$33+'TUSD CVA'!$AM$33)*(1-CUSTOS!$M$38)</f>
        <v>262.76076138596557</v>
      </c>
      <c r="AA110" s="6">
        <f>('TE BE'!$AB$23+'TE BF'!$AB$23+'TE CVA'!$AB$23)*(1-CUSTOS!$M$38)</f>
        <v>225.51648678666589</v>
      </c>
      <c r="AB110" s="6">
        <f>$K$110*$V$110</f>
        <v>0</v>
      </c>
      <c r="AC110" s="6">
        <f>$M$110*$W$110</f>
        <v>10500.13833</v>
      </c>
      <c r="AD110" s="6">
        <f>$O$110*$X$110</f>
        <v>11397.283369999999</v>
      </c>
      <c r="AE110" s="6">
        <f>$K$110*$Y$110</f>
        <v>0</v>
      </c>
      <c r="AF110" s="6">
        <f ca="1">$M$110*$Z$110</f>
        <v>14098.954173686754</v>
      </c>
      <c r="AG110" s="6">
        <f>$O$110*$AA$110</f>
        <v>12100.53813151213</v>
      </c>
    </row>
    <row r="111" spans="1:33" ht="11.25" customHeight="1" x14ac:dyDescent="0.25">
      <c r="A111" s="4" t="s">
        <v>21</v>
      </c>
      <c r="B111" s="4" t="s">
        <v>39</v>
      </c>
      <c r="C111" s="4" t="s">
        <v>23</v>
      </c>
      <c r="D111" s="4" t="s">
        <v>40</v>
      </c>
      <c r="E111" s="4" t="s">
        <v>25</v>
      </c>
      <c r="F111" s="4" t="s">
        <v>25</v>
      </c>
      <c r="G111" s="4" t="s">
        <v>25</v>
      </c>
      <c r="H111" s="4" t="s">
        <v>25</v>
      </c>
      <c r="I111" s="5">
        <v>44774</v>
      </c>
      <c r="J111" s="6">
        <v>0</v>
      </c>
      <c r="K111" s="6">
        <v>0</v>
      </c>
      <c r="L111" s="6">
        <v>52.451999999999998</v>
      </c>
      <c r="M111" s="6">
        <v>52.451999999999998</v>
      </c>
      <c r="N111" s="6">
        <v>52.451999999999998</v>
      </c>
      <c r="O111" s="6">
        <v>52.451999999999998</v>
      </c>
      <c r="P111" s="6">
        <v>158</v>
      </c>
      <c r="Q111" s="4" t="s">
        <v>26</v>
      </c>
      <c r="R111" s="4">
        <v>0</v>
      </c>
      <c r="S111" s="6">
        <v>0</v>
      </c>
      <c r="T111" s="6">
        <v>33</v>
      </c>
      <c r="U111" s="6">
        <v>66</v>
      </c>
      <c r="V111" s="6">
        <f>IF(ISERROR(VLOOKUP($S$111,'TAR FIN'!$A$1:$O$85,15,0)),0,VLOOKUP($S$111,'TAR FIN'!$A$1:$O$85,15,0))</f>
        <v>0</v>
      </c>
      <c r="W111" s="6">
        <f>IF(ISERROR(VLOOKUP($T$111,'TAR FIN'!$A$1:$O$85,15,0)),0,VLOOKUP($T$111,'TAR FIN'!$A$1:$O$85,15,0))</f>
        <v>195.69</v>
      </c>
      <c r="X111" s="6">
        <f>IF(ISERROR(VLOOKUP($U$111,'TAR FIN'!$A$1:$O$85,15,0)),0,VLOOKUP($U$111,'TAR FIN'!$A$1:$O$85,15,0))</f>
        <v>212.41</v>
      </c>
      <c r="Y111" s="6"/>
      <c r="Z111" s="6">
        <f ca="1">('TUSD BE'!$AM$33+'TUSD BF'!$AM$33+'TUSD CVA'!$AM$33)*(1-CUSTOS!$M$38)</f>
        <v>262.76076138596557</v>
      </c>
      <c r="AA111" s="6">
        <f>('TE BE'!$AB$23+'TE BF'!$AB$23+'TE CVA'!$AB$23)*(1-CUSTOS!$M$38)</f>
        <v>225.51648678666589</v>
      </c>
      <c r="AB111" s="6">
        <f>$K$111*$V$111</f>
        <v>0</v>
      </c>
      <c r="AC111" s="6">
        <f>$M$111*$W$111</f>
        <v>10264.33188</v>
      </c>
      <c r="AD111" s="6">
        <f>$O$111*$X$111</f>
        <v>11141.329319999999</v>
      </c>
      <c r="AE111" s="6">
        <f>$K$111*$Y$111</f>
        <v>0</v>
      </c>
      <c r="AF111" s="6">
        <f ca="1">$M$111*$Z$111</f>
        <v>13782.327456216666</v>
      </c>
      <c r="AG111" s="6">
        <f>$O$111*$AA$111</f>
        <v>11828.7907649342</v>
      </c>
    </row>
    <row r="112" spans="1:33" ht="11.25" customHeight="1" x14ac:dyDescent="0.25">
      <c r="A112" s="4" t="s">
        <v>21</v>
      </c>
      <c r="B112" s="4" t="s">
        <v>31</v>
      </c>
      <c r="C112" s="4" t="s">
        <v>23</v>
      </c>
      <c r="D112" s="4" t="s">
        <v>38</v>
      </c>
      <c r="E112" s="4" t="s">
        <v>25</v>
      </c>
      <c r="F112" s="4" t="s">
        <v>25</v>
      </c>
      <c r="G112" s="4" t="s">
        <v>25</v>
      </c>
      <c r="H112" s="4" t="s">
        <v>25</v>
      </c>
      <c r="I112" s="5">
        <v>44440</v>
      </c>
      <c r="J112" s="6">
        <v>0</v>
      </c>
      <c r="K112" s="6">
        <v>0</v>
      </c>
      <c r="L112" s="6">
        <v>20.841000000000001</v>
      </c>
      <c r="M112" s="6">
        <v>20.841000000000001</v>
      </c>
      <c r="N112" s="6">
        <v>20.841000000000001</v>
      </c>
      <c r="O112" s="6">
        <v>20.841000000000001</v>
      </c>
      <c r="P112" s="6">
        <v>52</v>
      </c>
      <c r="Q112" s="4" t="s">
        <v>26</v>
      </c>
      <c r="R112" s="4">
        <v>0</v>
      </c>
      <c r="S112" s="6">
        <v>0</v>
      </c>
      <c r="T112" s="6">
        <v>39</v>
      </c>
      <c r="U112" s="6">
        <v>80</v>
      </c>
      <c r="V112" s="6">
        <f>IF(ISERROR(VLOOKUP($S$112,'TAR FIN'!$A$1:$O$85,15,0)),0,VLOOKUP($S$112,'TAR FIN'!$A$1:$O$85,15,0))</f>
        <v>0</v>
      </c>
      <c r="W112" s="6">
        <f>IF(ISERROR(VLOOKUP($T$112,'TAR FIN'!$A$1:$O$85,15,0)),0,VLOOKUP($T$112,'TAR FIN'!$A$1:$O$85,15,0))</f>
        <v>222.38</v>
      </c>
      <c r="X112" s="6">
        <f>IF(ISERROR(VLOOKUP($U$112,'TAR FIN'!$A$1:$O$85,15,0)),0,VLOOKUP($U$112,'TAR FIN'!$A$1:$O$85,15,0))</f>
        <v>241.37</v>
      </c>
      <c r="Y112" s="6"/>
      <c r="Z112" s="6">
        <f ca="1">('TUSD BE'!$AM$48+'TUSD BF'!$AM$48+'TUSD CVA'!$AM$48)*1</f>
        <v>279.53272487868679</v>
      </c>
      <c r="AA112" s="6">
        <f>('TE BE'!$AB$38+'TE BF'!$AB$38+'TE CVA'!$AB$38)*1</f>
        <v>239.91115615602757</v>
      </c>
      <c r="AB112" s="6">
        <f>$K$112*$V$112</f>
        <v>0</v>
      </c>
      <c r="AC112" s="6">
        <f>$M$112*$W$112</f>
        <v>4634.62158</v>
      </c>
      <c r="AD112" s="6">
        <f>$O$112*$X$112</f>
        <v>5030.3921700000001</v>
      </c>
      <c r="AE112" s="6">
        <f>$K$112*$Y$112</f>
        <v>0</v>
      </c>
      <c r="AF112" s="6">
        <f ca="1">$M$112*$Z$112</f>
        <v>5825.741519196712</v>
      </c>
      <c r="AG112" s="6">
        <f>$O$112*$AA$112</f>
        <v>4999.9884054477707</v>
      </c>
    </row>
    <row r="113" spans="1:33" ht="11.25" customHeight="1" x14ac:dyDescent="0.25">
      <c r="A113" s="4" t="s">
        <v>21</v>
      </c>
      <c r="B113" s="4" t="s">
        <v>31</v>
      </c>
      <c r="C113" s="4" t="s">
        <v>23</v>
      </c>
      <c r="D113" s="4" t="s">
        <v>38</v>
      </c>
      <c r="E113" s="4" t="s">
        <v>25</v>
      </c>
      <c r="F113" s="4" t="s">
        <v>25</v>
      </c>
      <c r="G113" s="4" t="s">
        <v>25</v>
      </c>
      <c r="H113" s="4" t="s">
        <v>25</v>
      </c>
      <c r="I113" s="5">
        <v>44470</v>
      </c>
      <c r="J113" s="6">
        <v>0</v>
      </c>
      <c r="K113" s="6">
        <v>0</v>
      </c>
      <c r="L113" s="6">
        <v>22.224</v>
      </c>
      <c r="M113" s="6">
        <v>22.224</v>
      </c>
      <c r="N113" s="6">
        <v>22.224</v>
      </c>
      <c r="O113" s="6">
        <v>22.224</v>
      </c>
      <c r="P113" s="6">
        <v>52</v>
      </c>
      <c r="Q113" s="4" t="s">
        <v>26</v>
      </c>
      <c r="R113" s="4">
        <v>0</v>
      </c>
      <c r="S113" s="6">
        <v>0</v>
      </c>
      <c r="T113" s="6">
        <v>39</v>
      </c>
      <c r="U113" s="6">
        <v>80</v>
      </c>
      <c r="V113" s="6">
        <f>IF(ISERROR(VLOOKUP($S$113,'TAR FIN'!$A$1:$O$85,15,0)),0,VLOOKUP($S$113,'TAR FIN'!$A$1:$O$85,15,0))</f>
        <v>0</v>
      </c>
      <c r="W113" s="6">
        <f>IF(ISERROR(VLOOKUP($T$113,'TAR FIN'!$A$1:$O$85,15,0)),0,VLOOKUP($T$113,'TAR FIN'!$A$1:$O$85,15,0))</f>
        <v>222.38</v>
      </c>
      <c r="X113" s="6">
        <f>IF(ISERROR(VLOOKUP($U$113,'TAR FIN'!$A$1:$O$85,15,0)),0,VLOOKUP($U$113,'TAR FIN'!$A$1:$O$85,15,0))</f>
        <v>241.37</v>
      </c>
      <c r="Y113" s="6"/>
      <c r="Z113" s="6">
        <f ca="1">('TUSD BE'!$AM$48+'TUSD BF'!$AM$48+'TUSD CVA'!$AM$48)*1</f>
        <v>279.53272487868679</v>
      </c>
      <c r="AA113" s="6">
        <f>('TE BE'!$AB$38+'TE BF'!$AB$38+'TE CVA'!$AB$38)*1</f>
        <v>239.91115615602757</v>
      </c>
      <c r="AB113" s="6">
        <f>$K$113*$V$113</f>
        <v>0</v>
      </c>
      <c r="AC113" s="6">
        <f>$M$113*$W$113</f>
        <v>4942.1731200000004</v>
      </c>
      <c r="AD113" s="6">
        <f>$O$113*$X$113</f>
        <v>5364.2068799999997</v>
      </c>
      <c r="AE113" s="6">
        <f>$K$113*$Y$113</f>
        <v>0</v>
      </c>
      <c r="AF113" s="6">
        <f ca="1">$M$113*$Z$113</f>
        <v>6212.3352777039354</v>
      </c>
      <c r="AG113" s="6">
        <f>$O$113*$AA$113</f>
        <v>5331.7855344115569</v>
      </c>
    </row>
    <row r="114" spans="1:33" ht="11.25" customHeight="1" x14ac:dyDescent="0.25">
      <c r="A114" s="4" t="s">
        <v>21</v>
      </c>
      <c r="B114" s="4" t="s">
        <v>31</v>
      </c>
      <c r="C114" s="4" t="s">
        <v>23</v>
      </c>
      <c r="D114" s="4" t="s">
        <v>38</v>
      </c>
      <c r="E114" s="4" t="s">
        <v>25</v>
      </c>
      <c r="F114" s="4" t="s">
        <v>25</v>
      </c>
      <c r="G114" s="4" t="s">
        <v>25</v>
      </c>
      <c r="H114" s="4" t="s">
        <v>25</v>
      </c>
      <c r="I114" s="5">
        <v>44501</v>
      </c>
      <c r="J114" s="6">
        <v>0</v>
      </c>
      <c r="K114" s="6">
        <v>0</v>
      </c>
      <c r="L114" s="6">
        <v>21.158000000000001</v>
      </c>
      <c r="M114" s="6">
        <v>21.158000000000001</v>
      </c>
      <c r="N114" s="6">
        <v>21.158000000000001</v>
      </c>
      <c r="O114" s="6">
        <v>21.158000000000001</v>
      </c>
      <c r="P114" s="6">
        <v>52</v>
      </c>
      <c r="Q114" s="4" t="s">
        <v>26</v>
      </c>
      <c r="R114" s="4">
        <v>0</v>
      </c>
      <c r="S114" s="6">
        <v>0</v>
      </c>
      <c r="T114" s="6">
        <v>39</v>
      </c>
      <c r="U114" s="6">
        <v>80</v>
      </c>
      <c r="V114" s="6">
        <f>IF(ISERROR(VLOOKUP($S$114,'TAR FIN'!$A$1:$O$85,15,0)),0,VLOOKUP($S$114,'TAR FIN'!$A$1:$O$85,15,0))</f>
        <v>0</v>
      </c>
      <c r="W114" s="6">
        <f>IF(ISERROR(VLOOKUP($T$114,'TAR FIN'!$A$1:$O$85,15,0)),0,VLOOKUP($T$114,'TAR FIN'!$A$1:$O$85,15,0))</f>
        <v>222.38</v>
      </c>
      <c r="X114" s="6">
        <f>IF(ISERROR(VLOOKUP($U$114,'TAR FIN'!$A$1:$O$85,15,0)),0,VLOOKUP($U$114,'TAR FIN'!$A$1:$O$85,15,0))</f>
        <v>241.37</v>
      </c>
      <c r="Y114" s="6"/>
      <c r="Z114" s="6">
        <f ca="1">('TUSD BE'!$AM$48+'TUSD BF'!$AM$48+'TUSD CVA'!$AM$48)*1</f>
        <v>279.53272487868679</v>
      </c>
      <c r="AA114" s="6">
        <f>('TE BE'!$AB$38+'TE BF'!$AB$38+'TE CVA'!$AB$38)*1</f>
        <v>239.91115615602757</v>
      </c>
      <c r="AB114" s="6">
        <f>$K$114*$V$114</f>
        <v>0</v>
      </c>
      <c r="AC114" s="6">
        <f>$M$114*$W$114</f>
        <v>4705.1160399999999</v>
      </c>
      <c r="AD114" s="6">
        <f>$O$114*$X$114</f>
        <v>5106.9064600000002</v>
      </c>
      <c r="AE114" s="6">
        <f>$K$114*$Y$114</f>
        <v>0</v>
      </c>
      <c r="AF114" s="6">
        <f ca="1">$M$114*$Z$114</f>
        <v>5914.3533929832556</v>
      </c>
      <c r="AG114" s="6">
        <f>$O$114*$AA$114</f>
        <v>5076.040241949232</v>
      </c>
    </row>
    <row r="115" spans="1:33" ht="11.25" customHeight="1" x14ac:dyDescent="0.25">
      <c r="A115" s="4" t="s">
        <v>21</v>
      </c>
      <c r="B115" s="4" t="s">
        <v>31</v>
      </c>
      <c r="C115" s="4" t="s">
        <v>23</v>
      </c>
      <c r="D115" s="4" t="s">
        <v>38</v>
      </c>
      <c r="E115" s="4" t="s">
        <v>25</v>
      </c>
      <c r="F115" s="4" t="s">
        <v>25</v>
      </c>
      <c r="G115" s="4" t="s">
        <v>25</v>
      </c>
      <c r="H115" s="4" t="s">
        <v>25</v>
      </c>
      <c r="I115" s="5">
        <v>44531</v>
      </c>
      <c r="J115" s="6">
        <v>0</v>
      </c>
      <c r="K115" s="6">
        <v>0</v>
      </c>
      <c r="L115" s="6">
        <v>23.998000000000001</v>
      </c>
      <c r="M115" s="6">
        <v>23.998000000000001</v>
      </c>
      <c r="N115" s="6">
        <v>23.998000000000001</v>
      </c>
      <c r="O115" s="6">
        <v>23.998000000000001</v>
      </c>
      <c r="P115" s="6">
        <v>52</v>
      </c>
      <c r="Q115" s="4" t="s">
        <v>26</v>
      </c>
      <c r="R115" s="4">
        <v>0</v>
      </c>
      <c r="S115" s="6">
        <v>0</v>
      </c>
      <c r="T115" s="6">
        <v>39</v>
      </c>
      <c r="U115" s="6">
        <v>80</v>
      </c>
      <c r="V115" s="6">
        <f>IF(ISERROR(VLOOKUP($S$115,'TAR FIN'!$A$1:$O$85,15,0)),0,VLOOKUP($S$115,'TAR FIN'!$A$1:$O$85,15,0))</f>
        <v>0</v>
      </c>
      <c r="W115" s="6">
        <f>IF(ISERROR(VLOOKUP($T$115,'TAR FIN'!$A$1:$O$85,15,0)),0,VLOOKUP($T$115,'TAR FIN'!$A$1:$O$85,15,0))</f>
        <v>222.38</v>
      </c>
      <c r="X115" s="6">
        <f>IF(ISERROR(VLOOKUP($U$115,'TAR FIN'!$A$1:$O$85,15,0)),0,VLOOKUP($U$115,'TAR FIN'!$A$1:$O$85,15,0))</f>
        <v>241.37</v>
      </c>
      <c r="Y115" s="6"/>
      <c r="Z115" s="6">
        <f ca="1">('TUSD BE'!$AM$48+'TUSD BF'!$AM$48+'TUSD CVA'!$AM$48)*1</f>
        <v>279.53272487868679</v>
      </c>
      <c r="AA115" s="6">
        <f>('TE BE'!$AB$38+'TE BF'!$AB$38+'TE CVA'!$AB$38)*1</f>
        <v>239.91115615602757</v>
      </c>
      <c r="AB115" s="6">
        <f>$K$115*$V$115</f>
        <v>0</v>
      </c>
      <c r="AC115" s="6">
        <f>$M$115*$W$115</f>
        <v>5336.6752400000005</v>
      </c>
      <c r="AD115" s="6">
        <f>$O$115*$X$115</f>
        <v>5792.3972600000006</v>
      </c>
      <c r="AE115" s="6">
        <f>$K$115*$Y$115</f>
        <v>0</v>
      </c>
      <c r="AF115" s="6">
        <f ca="1">$M$115*$Z$115</f>
        <v>6708.2263316387262</v>
      </c>
      <c r="AG115" s="6">
        <f>$O$115*$AA$115</f>
        <v>5757.3879254323501</v>
      </c>
    </row>
    <row r="116" spans="1:33" ht="11.25" customHeight="1" x14ac:dyDescent="0.25">
      <c r="A116" s="4" t="s">
        <v>21</v>
      </c>
      <c r="B116" s="4" t="s">
        <v>31</v>
      </c>
      <c r="C116" s="4" t="s">
        <v>23</v>
      </c>
      <c r="D116" s="4" t="s">
        <v>38</v>
      </c>
      <c r="E116" s="4" t="s">
        <v>25</v>
      </c>
      <c r="F116" s="4" t="s">
        <v>25</v>
      </c>
      <c r="G116" s="4" t="s">
        <v>25</v>
      </c>
      <c r="H116" s="4" t="s">
        <v>25</v>
      </c>
      <c r="I116" s="5">
        <v>44562</v>
      </c>
      <c r="J116" s="6">
        <v>0</v>
      </c>
      <c r="K116" s="6">
        <v>0</v>
      </c>
      <c r="L116" s="6">
        <v>26.010999999999999</v>
      </c>
      <c r="M116" s="6">
        <v>26.010999999999999</v>
      </c>
      <c r="N116" s="6">
        <v>26.010999999999999</v>
      </c>
      <c r="O116" s="6">
        <v>26.010999999999999</v>
      </c>
      <c r="P116" s="6">
        <v>52</v>
      </c>
      <c r="Q116" s="4" t="s">
        <v>26</v>
      </c>
      <c r="R116" s="4">
        <v>0</v>
      </c>
      <c r="S116" s="6">
        <v>0</v>
      </c>
      <c r="T116" s="6">
        <v>39</v>
      </c>
      <c r="U116" s="6">
        <v>80</v>
      </c>
      <c r="V116" s="6">
        <f>IF(ISERROR(VLOOKUP($S$116,'TAR FIN'!$A$1:$O$85,15,0)),0,VLOOKUP($S$116,'TAR FIN'!$A$1:$O$85,15,0))</f>
        <v>0</v>
      </c>
      <c r="W116" s="6">
        <f>IF(ISERROR(VLOOKUP($T$116,'TAR FIN'!$A$1:$O$85,15,0)),0,VLOOKUP($T$116,'TAR FIN'!$A$1:$O$85,15,0))</f>
        <v>222.38</v>
      </c>
      <c r="X116" s="6">
        <f>IF(ISERROR(VLOOKUP($U$116,'TAR FIN'!$A$1:$O$85,15,0)),0,VLOOKUP($U$116,'TAR FIN'!$A$1:$O$85,15,0))</f>
        <v>241.37</v>
      </c>
      <c r="Y116" s="6"/>
      <c r="Z116" s="6">
        <f ca="1">('TUSD BE'!$AM$48+'TUSD BF'!$AM$48+'TUSD CVA'!$AM$48)*1</f>
        <v>279.53272487868679</v>
      </c>
      <c r="AA116" s="6">
        <f>('TE BE'!$AB$38+'TE BF'!$AB$38+'TE CVA'!$AB$38)*1</f>
        <v>239.91115615602757</v>
      </c>
      <c r="AB116" s="6">
        <f>$K$116*$V$116</f>
        <v>0</v>
      </c>
      <c r="AC116" s="6">
        <f>$M$116*$W$116</f>
        <v>5784.32618</v>
      </c>
      <c r="AD116" s="6">
        <f>$O$116*$X$116</f>
        <v>6278.2750699999997</v>
      </c>
      <c r="AE116" s="6">
        <f>$K$116*$Y$116</f>
        <v>0</v>
      </c>
      <c r="AF116" s="6">
        <f ca="1">$M$116*$Z$116</f>
        <v>7270.925706819522</v>
      </c>
      <c r="AG116" s="6">
        <f>$O$116*$AA$116</f>
        <v>6240.3290827744331</v>
      </c>
    </row>
    <row r="117" spans="1:33" ht="11.25" customHeight="1" x14ac:dyDescent="0.25">
      <c r="A117" s="4" t="s">
        <v>21</v>
      </c>
      <c r="B117" s="4" t="s">
        <v>31</v>
      </c>
      <c r="C117" s="4" t="s">
        <v>23</v>
      </c>
      <c r="D117" s="4" t="s">
        <v>38</v>
      </c>
      <c r="E117" s="4" t="s">
        <v>25</v>
      </c>
      <c r="F117" s="4" t="s">
        <v>25</v>
      </c>
      <c r="G117" s="4" t="s">
        <v>25</v>
      </c>
      <c r="H117" s="4" t="s">
        <v>25</v>
      </c>
      <c r="I117" s="5">
        <v>44593</v>
      </c>
      <c r="J117" s="6">
        <v>0</v>
      </c>
      <c r="K117" s="6">
        <v>0</v>
      </c>
      <c r="L117" s="6">
        <v>30.187000000000001</v>
      </c>
      <c r="M117" s="6">
        <v>30.187000000000001</v>
      </c>
      <c r="N117" s="6">
        <v>30.187000000000001</v>
      </c>
      <c r="O117" s="6">
        <v>30.187000000000001</v>
      </c>
      <c r="P117" s="6">
        <v>52</v>
      </c>
      <c r="Q117" s="4" t="s">
        <v>26</v>
      </c>
      <c r="R117" s="4">
        <v>0</v>
      </c>
      <c r="S117" s="6">
        <v>0</v>
      </c>
      <c r="T117" s="6">
        <v>39</v>
      </c>
      <c r="U117" s="6">
        <v>80</v>
      </c>
      <c r="V117" s="6">
        <f>IF(ISERROR(VLOOKUP($S$117,'TAR FIN'!$A$1:$O$85,15,0)),0,VLOOKUP($S$117,'TAR FIN'!$A$1:$O$85,15,0))</f>
        <v>0</v>
      </c>
      <c r="W117" s="6">
        <f>IF(ISERROR(VLOOKUP($T$117,'TAR FIN'!$A$1:$O$85,15,0)),0,VLOOKUP($T$117,'TAR FIN'!$A$1:$O$85,15,0))</f>
        <v>222.38</v>
      </c>
      <c r="X117" s="6">
        <f>IF(ISERROR(VLOOKUP($U$117,'TAR FIN'!$A$1:$O$85,15,0)),0,VLOOKUP($U$117,'TAR FIN'!$A$1:$O$85,15,0))</f>
        <v>241.37</v>
      </c>
      <c r="Y117" s="6"/>
      <c r="Z117" s="6">
        <f ca="1">('TUSD BE'!$AM$48+'TUSD BF'!$AM$48+'TUSD CVA'!$AM$48)*1</f>
        <v>279.53272487868679</v>
      </c>
      <c r="AA117" s="6">
        <f>('TE BE'!$AB$38+'TE BF'!$AB$38+'TE CVA'!$AB$38)*1</f>
        <v>239.91115615602757</v>
      </c>
      <c r="AB117" s="6">
        <f>$K$117*$V$117</f>
        <v>0</v>
      </c>
      <c r="AC117" s="6">
        <f>$M$117*$W$117</f>
        <v>6712.98506</v>
      </c>
      <c r="AD117" s="6">
        <f>$O$117*$X$117</f>
        <v>7286.2361900000005</v>
      </c>
      <c r="AE117" s="6">
        <f>$K$117*$Y$117</f>
        <v>0</v>
      </c>
      <c r="AF117" s="6">
        <f ca="1">$M$117*$Z$117</f>
        <v>8438.2543659129187</v>
      </c>
      <c r="AG117" s="6">
        <f>$O$117*$AA$117</f>
        <v>7242.1980708820047</v>
      </c>
    </row>
    <row r="118" spans="1:33" ht="11.25" customHeight="1" x14ac:dyDescent="0.25">
      <c r="A118" s="4" t="s">
        <v>21</v>
      </c>
      <c r="B118" s="4" t="s">
        <v>31</v>
      </c>
      <c r="C118" s="4" t="s">
        <v>23</v>
      </c>
      <c r="D118" s="4" t="s">
        <v>38</v>
      </c>
      <c r="E118" s="4" t="s">
        <v>25</v>
      </c>
      <c r="F118" s="4" t="s">
        <v>25</v>
      </c>
      <c r="G118" s="4" t="s">
        <v>25</v>
      </c>
      <c r="H118" s="4" t="s">
        <v>25</v>
      </c>
      <c r="I118" s="5">
        <v>44621</v>
      </c>
      <c r="J118" s="6">
        <v>0</v>
      </c>
      <c r="K118" s="6">
        <v>0</v>
      </c>
      <c r="L118" s="6">
        <v>28.289000000000001</v>
      </c>
      <c r="M118" s="6">
        <v>28.289000000000001</v>
      </c>
      <c r="N118" s="6">
        <v>28.289000000000001</v>
      </c>
      <c r="O118" s="6">
        <v>28.289000000000001</v>
      </c>
      <c r="P118" s="6">
        <v>52</v>
      </c>
      <c r="Q118" s="4" t="s">
        <v>26</v>
      </c>
      <c r="R118" s="4">
        <v>0</v>
      </c>
      <c r="S118" s="6">
        <v>0</v>
      </c>
      <c r="T118" s="6">
        <v>39</v>
      </c>
      <c r="U118" s="6">
        <v>80</v>
      </c>
      <c r="V118" s="6">
        <f>IF(ISERROR(VLOOKUP($S$118,'TAR FIN'!$A$1:$O$85,15,0)),0,VLOOKUP($S$118,'TAR FIN'!$A$1:$O$85,15,0))</f>
        <v>0</v>
      </c>
      <c r="W118" s="6">
        <f>IF(ISERROR(VLOOKUP($T$118,'TAR FIN'!$A$1:$O$85,15,0)),0,VLOOKUP($T$118,'TAR FIN'!$A$1:$O$85,15,0))</f>
        <v>222.38</v>
      </c>
      <c r="X118" s="6">
        <f>IF(ISERROR(VLOOKUP($U$118,'TAR FIN'!$A$1:$O$85,15,0)),0,VLOOKUP($U$118,'TAR FIN'!$A$1:$O$85,15,0))</f>
        <v>241.37</v>
      </c>
      <c r="Y118" s="6"/>
      <c r="Z118" s="6">
        <f ca="1">('TUSD BE'!$AM$48+'TUSD BF'!$AM$48+'TUSD CVA'!$AM$48)*1</f>
        <v>279.53272487868679</v>
      </c>
      <c r="AA118" s="6">
        <f>('TE BE'!$AB$38+'TE BF'!$AB$38+'TE CVA'!$AB$38)*1</f>
        <v>239.91115615602757</v>
      </c>
      <c r="AB118" s="6">
        <f>$K$118*$V$118</f>
        <v>0</v>
      </c>
      <c r="AC118" s="6">
        <f>$M$118*$W$118</f>
        <v>6290.9078200000004</v>
      </c>
      <c r="AD118" s="6">
        <f>$O$118*$X$118</f>
        <v>6828.1159300000008</v>
      </c>
      <c r="AE118" s="6">
        <f>$K$118*$Y$118</f>
        <v>0</v>
      </c>
      <c r="AF118" s="6">
        <f ca="1">$M$118*$Z$118</f>
        <v>7907.701254093171</v>
      </c>
      <c r="AG118" s="6">
        <f>$O$118*$AA$118</f>
        <v>6786.8466964978643</v>
      </c>
    </row>
    <row r="119" spans="1:33" ht="11.25" customHeight="1" x14ac:dyDescent="0.25">
      <c r="A119" s="4" t="s">
        <v>21</v>
      </c>
      <c r="B119" s="4" t="s">
        <v>31</v>
      </c>
      <c r="C119" s="4" t="s">
        <v>23</v>
      </c>
      <c r="D119" s="4" t="s">
        <v>38</v>
      </c>
      <c r="E119" s="4" t="s">
        <v>25</v>
      </c>
      <c r="F119" s="4" t="s">
        <v>25</v>
      </c>
      <c r="G119" s="4" t="s">
        <v>25</v>
      </c>
      <c r="H119" s="4" t="s">
        <v>25</v>
      </c>
      <c r="I119" s="5">
        <v>44652</v>
      </c>
      <c r="J119" s="6">
        <v>0</v>
      </c>
      <c r="K119" s="6">
        <v>0</v>
      </c>
      <c r="L119" s="6">
        <v>27.173999999999999</v>
      </c>
      <c r="M119" s="6">
        <v>27.173999999999999</v>
      </c>
      <c r="N119" s="6">
        <v>27.173999999999999</v>
      </c>
      <c r="O119" s="6">
        <v>27.173999999999999</v>
      </c>
      <c r="P119" s="6">
        <v>52</v>
      </c>
      <c r="Q119" s="4" t="s">
        <v>26</v>
      </c>
      <c r="R119" s="4">
        <v>0</v>
      </c>
      <c r="S119" s="6">
        <v>0</v>
      </c>
      <c r="T119" s="6">
        <v>39</v>
      </c>
      <c r="U119" s="6">
        <v>80</v>
      </c>
      <c r="V119" s="6">
        <f>IF(ISERROR(VLOOKUP($S$119,'TAR FIN'!$A$1:$O$85,15,0)),0,VLOOKUP($S$119,'TAR FIN'!$A$1:$O$85,15,0))</f>
        <v>0</v>
      </c>
      <c r="W119" s="6">
        <f>IF(ISERROR(VLOOKUP($T$119,'TAR FIN'!$A$1:$O$85,15,0)),0,VLOOKUP($T$119,'TAR FIN'!$A$1:$O$85,15,0))</f>
        <v>222.38</v>
      </c>
      <c r="X119" s="6">
        <f>IF(ISERROR(VLOOKUP($U$119,'TAR FIN'!$A$1:$O$85,15,0)),0,VLOOKUP($U$119,'TAR FIN'!$A$1:$O$85,15,0))</f>
        <v>241.37</v>
      </c>
      <c r="Y119" s="6"/>
      <c r="Z119" s="6">
        <f ca="1">('TUSD BE'!$AM$48+'TUSD BF'!$AM$48+'TUSD CVA'!$AM$48)*1</f>
        <v>279.53272487868679</v>
      </c>
      <c r="AA119" s="6">
        <f>('TE BE'!$AB$38+'TE BF'!$AB$38+'TE CVA'!$AB$38)*1</f>
        <v>239.91115615602757</v>
      </c>
      <c r="AB119" s="6">
        <f>$K$119*$V$119</f>
        <v>0</v>
      </c>
      <c r="AC119" s="6">
        <f>$M$119*$W$119</f>
        <v>6042.9541199999994</v>
      </c>
      <c r="AD119" s="6">
        <f>$O$119*$X$119</f>
        <v>6558.9883799999998</v>
      </c>
      <c r="AE119" s="6">
        <f>$K$119*$Y$119</f>
        <v>0</v>
      </c>
      <c r="AF119" s="6">
        <f ca="1">$M$119*$Z$119</f>
        <v>7596.0222658534349</v>
      </c>
      <c r="AG119" s="6">
        <f>$O$119*$AA$119</f>
        <v>6519.3457573838932</v>
      </c>
    </row>
    <row r="120" spans="1:33" ht="11.25" customHeight="1" x14ac:dyDescent="0.25">
      <c r="A120" s="4" t="s">
        <v>21</v>
      </c>
      <c r="B120" s="4" t="s">
        <v>31</v>
      </c>
      <c r="C120" s="4" t="s">
        <v>23</v>
      </c>
      <c r="D120" s="4" t="s">
        <v>38</v>
      </c>
      <c r="E120" s="4" t="s">
        <v>25</v>
      </c>
      <c r="F120" s="4" t="s">
        <v>25</v>
      </c>
      <c r="G120" s="4" t="s">
        <v>25</v>
      </c>
      <c r="H120" s="4" t="s">
        <v>25</v>
      </c>
      <c r="I120" s="5">
        <v>44682</v>
      </c>
      <c r="J120" s="6">
        <v>0</v>
      </c>
      <c r="K120" s="6">
        <v>0</v>
      </c>
      <c r="L120" s="6">
        <v>24.038</v>
      </c>
      <c r="M120" s="6">
        <v>24.038</v>
      </c>
      <c r="N120" s="6">
        <v>24.038</v>
      </c>
      <c r="O120" s="6">
        <v>24.038</v>
      </c>
      <c r="P120" s="6">
        <v>54</v>
      </c>
      <c r="Q120" s="4" t="s">
        <v>26</v>
      </c>
      <c r="R120" s="4">
        <v>0</v>
      </c>
      <c r="S120" s="6">
        <v>0</v>
      </c>
      <c r="T120" s="6">
        <v>39</v>
      </c>
      <c r="U120" s="6">
        <v>80</v>
      </c>
      <c r="V120" s="6">
        <f>IF(ISERROR(VLOOKUP($S$120,'TAR FIN'!$A$1:$O$85,15,0)),0,VLOOKUP($S$120,'TAR FIN'!$A$1:$O$85,15,0))</f>
        <v>0</v>
      </c>
      <c r="W120" s="6">
        <f>IF(ISERROR(VLOOKUP($T$120,'TAR FIN'!$A$1:$O$85,15,0)),0,VLOOKUP($T$120,'TAR FIN'!$A$1:$O$85,15,0))</f>
        <v>222.38</v>
      </c>
      <c r="X120" s="6">
        <f>IF(ISERROR(VLOOKUP($U$120,'TAR FIN'!$A$1:$O$85,15,0)),0,VLOOKUP($U$120,'TAR FIN'!$A$1:$O$85,15,0))</f>
        <v>241.37</v>
      </c>
      <c r="Y120" s="6"/>
      <c r="Z120" s="6">
        <f ca="1">('TUSD BE'!$AM$48+'TUSD BF'!$AM$48+'TUSD CVA'!$AM$48)*1</f>
        <v>279.53272487868679</v>
      </c>
      <c r="AA120" s="6">
        <f>('TE BE'!$AB$38+'TE BF'!$AB$38+'TE CVA'!$AB$38)*1</f>
        <v>239.91115615602757</v>
      </c>
      <c r="AB120" s="6">
        <f>$K$120*$V$120</f>
        <v>0</v>
      </c>
      <c r="AC120" s="6">
        <f>$M$120*$W$120</f>
        <v>5345.5704399999995</v>
      </c>
      <c r="AD120" s="6">
        <f>$O$120*$X$120</f>
        <v>5802.05206</v>
      </c>
      <c r="AE120" s="6">
        <f>$K$120*$Y$120</f>
        <v>0</v>
      </c>
      <c r="AF120" s="6">
        <f ca="1">$M$120*$Z$120</f>
        <v>6719.4076406338736</v>
      </c>
      <c r="AG120" s="6">
        <f>$O$120*$AA$120</f>
        <v>5766.9843716785908</v>
      </c>
    </row>
    <row r="121" spans="1:33" ht="11.25" customHeight="1" x14ac:dyDescent="0.25">
      <c r="A121" s="4" t="s">
        <v>21</v>
      </c>
      <c r="B121" s="4" t="s">
        <v>31</v>
      </c>
      <c r="C121" s="4" t="s">
        <v>23</v>
      </c>
      <c r="D121" s="4" t="s">
        <v>38</v>
      </c>
      <c r="E121" s="4" t="s">
        <v>25</v>
      </c>
      <c r="F121" s="4" t="s">
        <v>25</v>
      </c>
      <c r="G121" s="4" t="s">
        <v>25</v>
      </c>
      <c r="H121" s="4" t="s">
        <v>25</v>
      </c>
      <c r="I121" s="5">
        <v>44713</v>
      </c>
      <c r="J121" s="6">
        <v>0</v>
      </c>
      <c r="K121" s="6">
        <v>0</v>
      </c>
      <c r="L121" s="6">
        <v>22.826000000000001</v>
      </c>
      <c r="M121" s="6">
        <v>22.826000000000001</v>
      </c>
      <c r="N121" s="6">
        <v>22.826000000000001</v>
      </c>
      <c r="O121" s="6">
        <v>22.826000000000001</v>
      </c>
      <c r="P121" s="6">
        <v>55</v>
      </c>
      <c r="Q121" s="4" t="s">
        <v>26</v>
      </c>
      <c r="R121" s="4">
        <v>0</v>
      </c>
      <c r="S121" s="6">
        <v>0</v>
      </c>
      <c r="T121" s="6">
        <v>39</v>
      </c>
      <c r="U121" s="6">
        <v>80</v>
      </c>
      <c r="V121" s="6">
        <f>IF(ISERROR(VLOOKUP($S$121,'TAR FIN'!$A$1:$O$85,15,0)),0,VLOOKUP($S$121,'TAR FIN'!$A$1:$O$85,15,0))</f>
        <v>0</v>
      </c>
      <c r="W121" s="6">
        <f>IF(ISERROR(VLOOKUP($T$121,'TAR FIN'!$A$1:$O$85,15,0)),0,VLOOKUP($T$121,'TAR FIN'!$A$1:$O$85,15,0))</f>
        <v>222.38</v>
      </c>
      <c r="X121" s="6">
        <f>IF(ISERROR(VLOOKUP($U$121,'TAR FIN'!$A$1:$O$85,15,0)),0,VLOOKUP($U$121,'TAR FIN'!$A$1:$O$85,15,0))</f>
        <v>241.37</v>
      </c>
      <c r="Y121" s="6"/>
      <c r="Z121" s="6">
        <f ca="1">('TUSD BE'!$AM$48+'TUSD BF'!$AM$48+'TUSD CVA'!$AM$48)*1</f>
        <v>279.53272487868679</v>
      </c>
      <c r="AA121" s="6">
        <f>('TE BE'!$AB$38+'TE BF'!$AB$38+'TE CVA'!$AB$38)*1</f>
        <v>239.91115615602757</v>
      </c>
      <c r="AB121" s="6">
        <f>$K$121*$V$121</f>
        <v>0</v>
      </c>
      <c r="AC121" s="6">
        <f>$M$121*$W$121</f>
        <v>5076.0458799999997</v>
      </c>
      <c r="AD121" s="6">
        <f>$O$121*$X$121</f>
        <v>5509.5116200000002</v>
      </c>
      <c r="AE121" s="6">
        <f>$K$121*$Y$121</f>
        <v>0</v>
      </c>
      <c r="AF121" s="6">
        <f ca="1">$M$121*$Z$121</f>
        <v>6380.6139780809044</v>
      </c>
      <c r="AG121" s="6">
        <f>$O$121*$AA$121</f>
        <v>5476.2120504174854</v>
      </c>
    </row>
    <row r="122" spans="1:33" ht="11.25" customHeight="1" x14ac:dyDescent="0.25">
      <c r="A122" s="4" t="s">
        <v>21</v>
      </c>
      <c r="B122" s="4" t="s">
        <v>31</v>
      </c>
      <c r="C122" s="4" t="s">
        <v>23</v>
      </c>
      <c r="D122" s="4" t="s">
        <v>38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44743</v>
      </c>
      <c r="J122" s="6">
        <v>0</v>
      </c>
      <c r="K122" s="6">
        <v>0</v>
      </c>
      <c r="L122" s="6">
        <v>22.486000000000001</v>
      </c>
      <c r="M122" s="6">
        <v>22.486000000000001</v>
      </c>
      <c r="N122" s="6">
        <v>22.486000000000001</v>
      </c>
      <c r="O122" s="6">
        <v>22.486000000000001</v>
      </c>
      <c r="P122" s="6">
        <v>55</v>
      </c>
      <c r="Q122" s="4" t="s">
        <v>26</v>
      </c>
      <c r="R122" s="4">
        <v>0</v>
      </c>
      <c r="S122" s="6">
        <v>0</v>
      </c>
      <c r="T122" s="6">
        <v>39</v>
      </c>
      <c r="U122" s="6">
        <v>80</v>
      </c>
      <c r="V122" s="6">
        <f>IF(ISERROR(VLOOKUP($S$122,'TAR FIN'!$A$1:$O$85,15,0)),0,VLOOKUP($S$122,'TAR FIN'!$A$1:$O$85,15,0))</f>
        <v>0</v>
      </c>
      <c r="W122" s="6">
        <f>IF(ISERROR(VLOOKUP($T$122,'TAR FIN'!$A$1:$O$85,15,0)),0,VLOOKUP($T$122,'TAR FIN'!$A$1:$O$85,15,0))</f>
        <v>222.38</v>
      </c>
      <c r="X122" s="6">
        <f>IF(ISERROR(VLOOKUP($U$122,'TAR FIN'!$A$1:$O$85,15,0)),0,VLOOKUP($U$122,'TAR FIN'!$A$1:$O$85,15,0))</f>
        <v>241.37</v>
      </c>
      <c r="Y122" s="6"/>
      <c r="Z122" s="6">
        <f ca="1">('TUSD BE'!$AM$48+'TUSD BF'!$AM$48+'TUSD CVA'!$AM$48)*1</f>
        <v>279.53272487868679</v>
      </c>
      <c r="AA122" s="6">
        <f>('TE BE'!$AB$38+'TE BF'!$AB$38+'TE CVA'!$AB$38)*1</f>
        <v>239.91115615602757</v>
      </c>
      <c r="AB122" s="6">
        <f>$K$122*$V$122</f>
        <v>0</v>
      </c>
      <c r="AC122" s="6">
        <f>$M$122*$W$122</f>
        <v>5000.4366799999998</v>
      </c>
      <c r="AD122" s="6">
        <f>$O$122*$X$122</f>
        <v>5427.4458199999999</v>
      </c>
      <c r="AE122" s="6">
        <f>$K$122*$Y$122</f>
        <v>0</v>
      </c>
      <c r="AF122" s="6">
        <f ca="1">$M$122*$Z$122</f>
        <v>6285.5728516221516</v>
      </c>
      <c r="AG122" s="6">
        <f>$O$122*$AA$122</f>
        <v>5394.6422573244363</v>
      </c>
    </row>
    <row r="123" spans="1:33" ht="11.25" customHeight="1" x14ac:dyDescent="0.25">
      <c r="A123" s="4" t="s">
        <v>21</v>
      </c>
      <c r="B123" s="4" t="s">
        <v>31</v>
      </c>
      <c r="C123" s="4" t="s">
        <v>23</v>
      </c>
      <c r="D123" s="4" t="s">
        <v>38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44774</v>
      </c>
      <c r="J123" s="6">
        <v>0</v>
      </c>
      <c r="K123" s="6">
        <v>0</v>
      </c>
      <c r="L123" s="6">
        <v>24.277999999999999</v>
      </c>
      <c r="M123" s="6">
        <v>24.277999999999999</v>
      </c>
      <c r="N123" s="6">
        <v>24.277999999999999</v>
      </c>
      <c r="O123" s="6">
        <v>24.277999999999999</v>
      </c>
      <c r="P123" s="6">
        <v>55</v>
      </c>
      <c r="Q123" s="4" t="s">
        <v>26</v>
      </c>
      <c r="R123" s="4">
        <v>0</v>
      </c>
      <c r="S123" s="6">
        <v>0</v>
      </c>
      <c r="T123" s="6">
        <v>39</v>
      </c>
      <c r="U123" s="6">
        <v>80</v>
      </c>
      <c r="V123" s="6">
        <f>IF(ISERROR(VLOOKUP($S$123,'TAR FIN'!$A$1:$O$85,15,0)),0,VLOOKUP($S$123,'TAR FIN'!$A$1:$O$85,15,0))</f>
        <v>0</v>
      </c>
      <c r="W123" s="6">
        <f>IF(ISERROR(VLOOKUP($T$123,'TAR FIN'!$A$1:$O$85,15,0)),0,VLOOKUP($T$123,'TAR FIN'!$A$1:$O$85,15,0))</f>
        <v>222.38</v>
      </c>
      <c r="X123" s="6">
        <f>IF(ISERROR(VLOOKUP($U$123,'TAR FIN'!$A$1:$O$85,15,0)),0,VLOOKUP($U$123,'TAR FIN'!$A$1:$O$85,15,0))</f>
        <v>241.37</v>
      </c>
      <c r="Y123" s="6"/>
      <c r="Z123" s="6">
        <f ca="1">('TUSD BE'!$AM$48+'TUSD BF'!$AM$48+'TUSD CVA'!$AM$48)*1</f>
        <v>279.53272487868679</v>
      </c>
      <c r="AA123" s="6">
        <f>('TE BE'!$AB$38+'TE BF'!$AB$38+'TE CVA'!$AB$38)*1</f>
        <v>239.91115615602757</v>
      </c>
      <c r="AB123" s="6">
        <f>$K$123*$V$123</f>
        <v>0</v>
      </c>
      <c r="AC123" s="6">
        <f>$M$123*$W$123</f>
        <v>5398.94164</v>
      </c>
      <c r="AD123" s="6">
        <f>$O$123*$X$123</f>
        <v>5859.9808599999997</v>
      </c>
      <c r="AE123" s="6">
        <f>$K$123*$Y$123</f>
        <v>0</v>
      </c>
      <c r="AF123" s="6">
        <f ca="1">$M$123*$Z$123</f>
        <v>6786.4954946047574</v>
      </c>
      <c r="AG123" s="6">
        <f>$O$123*$AA$123</f>
        <v>5824.5630491560369</v>
      </c>
    </row>
    <row r="124" spans="1:33" ht="11.25" customHeight="1" x14ac:dyDescent="0.25">
      <c r="A124" s="4" t="s">
        <v>21</v>
      </c>
      <c r="B124" s="4" t="s">
        <v>31</v>
      </c>
      <c r="C124" s="4" t="s">
        <v>23</v>
      </c>
      <c r="D124" s="4" t="s">
        <v>32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44440</v>
      </c>
      <c r="J124" s="6">
        <v>0</v>
      </c>
      <c r="K124" s="6">
        <v>0</v>
      </c>
      <c r="L124" s="6">
        <v>92.442999999999998</v>
      </c>
      <c r="M124" s="6">
        <v>92.442999999999998</v>
      </c>
      <c r="N124" s="6">
        <v>92.442999999999998</v>
      </c>
      <c r="O124" s="6">
        <v>92.442999999999998</v>
      </c>
      <c r="P124" s="6">
        <v>33</v>
      </c>
      <c r="Q124" s="4" t="s">
        <v>26</v>
      </c>
      <c r="R124" s="4">
        <v>0</v>
      </c>
      <c r="S124" s="6">
        <v>0</v>
      </c>
      <c r="T124" s="6">
        <v>39</v>
      </c>
      <c r="U124" s="6">
        <v>80</v>
      </c>
      <c r="V124" s="6">
        <f>IF(ISERROR(VLOOKUP($S$124,'TAR FIN'!$A$1:$O$85,15,0)),0,VLOOKUP($S$124,'TAR FIN'!$A$1:$O$85,15,0))</f>
        <v>0</v>
      </c>
      <c r="W124" s="6">
        <f>IF(ISERROR(VLOOKUP($T$124,'TAR FIN'!$A$1:$O$85,15,0)),0,VLOOKUP($T$124,'TAR FIN'!$A$1:$O$85,15,0))</f>
        <v>222.38</v>
      </c>
      <c r="X124" s="6">
        <f>IF(ISERROR(VLOOKUP($U$124,'TAR FIN'!$A$1:$O$85,15,0)),0,VLOOKUP($U$124,'TAR FIN'!$A$1:$O$85,15,0))</f>
        <v>241.37</v>
      </c>
      <c r="Y124" s="6"/>
      <c r="Z124" s="6">
        <f ca="1">('TUSD BE'!$AM$48+'TUSD BF'!$AM$48+'TUSD CVA'!$AM$48)*1</f>
        <v>279.53272487868679</v>
      </c>
      <c r="AA124" s="6">
        <f>('TE BE'!$AB$38+'TE BF'!$AB$38+'TE CVA'!$AB$38)*1</f>
        <v>239.91115615602757</v>
      </c>
      <c r="AB124" s="6">
        <f>$K$124*$V$124</f>
        <v>0</v>
      </c>
      <c r="AC124" s="6">
        <f>$M$124*$W$124</f>
        <v>20557.474340000001</v>
      </c>
      <c r="AD124" s="6">
        <f>$O$124*$X$124</f>
        <v>22312.966909999999</v>
      </c>
      <c r="AE124" s="6">
        <f>$K$124*$Y$124</f>
        <v>0</v>
      </c>
      <c r="AF124" s="6">
        <f ca="1">$M$124*$Z$124</f>
        <v>25840.843685960441</v>
      </c>
      <c r="AG124" s="6">
        <f>$O$124*$AA$124</f>
        <v>22178.107008531657</v>
      </c>
    </row>
    <row r="125" spans="1:33" ht="11.25" customHeight="1" x14ac:dyDescent="0.25">
      <c r="A125" s="4" t="s">
        <v>21</v>
      </c>
      <c r="B125" s="4" t="s">
        <v>31</v>
      </c>
      <c r="C125" s="4" t="s">
        <v>23</v>
      </c>
      <c r="D125" s="4" t="s">
        <v>32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44470</v>
      </c>
      <c r="J125" s="6">
        <v>0</v>
      </c>
      <c r="K125" s="6">
        <v>0</v>
      </c>
      <c r="L125" s="6">
        <v>91.703999999999994</v>
      </c>
      <c r="M125" s="6">
        <v>91.703999999999994</v>
      </c>
      <c r="N125" s="6">
        <v>91.703999999999994</v>
      </c>
      <c r="O125" s="6">
        <v>91.703999999999994</v>
      </c>
      <c r="P125" s="6">
        <v>34</v>
      </c>
      <c r="Q125" s="4" t="s">
        <v>26</v>
      </c>
      <c r="R125" s="4">
        <v>0</v>
      </c>
      <c r="S125" s="6">
        <v>0</v>
      </c>
      <c r="T125" s="6">
        <v>39</v>
      </c>
      <c r="U125" s="6">
        <v>80</v>
      </c>
      <c r="V125" s="6">
        <f>IF(ISERROR(VLOOKUP($S$125,'TAR FIN'!$A$1:$O$85,15,0)),0,VLOOKUP($S$125,'TAR FIN'!$A$1:$O$85,15,0))</f>
        <v>0</v>
      </c>
      <c r="W125" s="6">
        <f>IF(ISERROR(VLOOKUP($T$125,'TAR FIN'!$A$1:$O$85,15,0)),0,VLOOKUP($T$125,'TAR FIN'!$A$1:$O$85,15,0))</f>
        <v>222.38</v>
      </c>
      <c r="X125" s="6">
        <f>IF(ISERROR(VLOOKUP($U$125,'TAR FIN'!$A$1:$O$85,15,0)),0,VLOOKUP($U$125,'TAR FIN'!$A$1:$O$85,15,0))</f>
        <v>241.37</v>
      </c>
      <c r="Y125" s="6"/>
      <c r="Z125" s="6">
        <f ca="1">('TUSD BE'!$AM$48+'TUSD BF'!$AM$48+'TUSD CVA'!$AM$48)*1</f>
        <v>279.53272487868679</v>
      </c>
      <c r="AA125" s="6">
        <f>('TE BE'!$AB$38+'TE BF'!$AB$38+'TE CVA'!$AB$38)*1</f>
        <v>239.91115615602757</v>
      </c>
      <c r="AB125" s="6">
        <f>$K$125*$V$125</f>
        <v>0</v>
      </c>
      <c r="AC125" s="6">
        <f>$M$125*$W$125</f>
        <v>20393.13552</v>
      </c>
      <c r="AD125" s="6">
        <f>$O$125*$X$125</f>
        <v>22134.59448</v>
      </c>
      <c r="AE125" s="6">
        <f>$K$125*$Y$125</f>
        <v>0</v>
      </c>
      <c r="AF125" s="6">
        <f ca="1">$M$125*$Z$125</f>
        <v>25634.26900227509</v>
      </c>
      <c r="AG125" s="6">
        <f>$O$125*$AA$125</f>
        <v>22000.812664132351</v>
      </c>
    </row>
    <row r="126" spans="1:33" ht="11.25" customHeight="1" x14ac:dyDescent="0.25">
      <c r="A126" s="4" t="s">
        <v>21</v>
      </c>
      <c r="B126" s="4" t="s">
        <v>31</v>
      </c>
      <c r="C126" s="4" t="s">
        <v>23</v>
      </c>
      <c r="D126" s="4" t="s">
        <v>32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44501</v>
      </c>
      <c r="J126" s="6">
        <v>0</v>
      </c>
      <c r="K126" s="6">
        <v>0</v>
      </c>
      <c r="L126" s="6">
        <v>81.534999999999997</v>
      </c>
      <c r="M126" s="6">
        <v>81.534999999999997</v>
      </c>
      <c r="N126" s="6">
        <v>81.534999999999997</v>
      </c>
      <c r="O126" s="6">
        <v>81.534999999999997</v>
      </c>
      <c r="P126" s="6">
        <v>34</v>
      </c>
      <c r="Q126" s="4" t="s">
        <v>26</v>
      </c>
      <c r="R126" s="4">
        <v>0</v>
      </c>
      <c r="S126" s="6">
        <v>0</v>
      </c>
      <c r="T126" s="6">
        <v>39</v>
      </c>
      <c r="U126" s="6">
        <v>80</v>
      </c>
      <c r="V126" s="6">
        <f>IF(ISERROR(VLOOKUP($S$126,'TAR FIN'!$A$1:$O$85,15,0)),0,VLOOKUP($S$126,'TAR FIN'!$A$1:$O$85,15,0))</f>
        <v>0</v>
      </c>
      <c r="W126" s="6">
        <f>IF(ISERROR(VLOOKUP($T$126,'TAR FIN'!$A$1:$O$85,15,0)),0,VLOOKUP($T$126,'TAR FIN'!$A$1:$O$85,15,0))</f>
        <v>222.38</v>
      </c>
      <c r="X126" s="6">
        <f>IF(ISERROR(VLOOKUP($U$126,'TAR FIN'!$A$1:$O$85,15,0)),0,VLOOKUP($U$126,'TAR FIN'!$A$1:$O$85,15,0))</f>
        <v>241.37</v>
      </c>
      <c r="Y126" s="6"/>
      <c r="Z126" s="6">
        <f ca="1">('TUSD BE'!$AM$48+'TUSD BF'!$AM$48+'TUSD CVA'!$AM$48)*1</f>
        <v>279.53272487868679</v>
      </c>
      <c r="AA126" s="6">
        <f>('TE BE'!$AB$38+'TE BF'!$AB$38+'TE CVA'!$AB$38)*1</f>
        <v>239.91115615602757</v>
      </c>
      <c r="AB126" s="6">
        <f>$K$126*$V$126</f>
        <v>0</v>
      </c>
      <c r="AC126" s="6">
        <f>$M$126*$W$126</f>
        <v>18131.7533</v>
      </c>
      <c r="AD126" s="6">
        <f>$O$126*$X$126</f>
        <v>19680.10295</v>
      </c>
      <c r="AE126" s="6">
        <f>$K$126*$Y$126</f>
        <v>0</v>
      </c>
      <c r="AF126" s="6">
        <f ca="1">$M$126*$Z$126</f>
        <v>22791.700722983725</v>
      </c>
      <c r="AG126" s="6">
        <f>$O$126*$AA$126</f>
        <v>19561.156117181708</v>
      </c>
    </row>
    <row r="127" spans="1:33" ht="11.25" customHeight="1" x14ac:dyDescent="0.25">
      <c r="A127" s="4" t="s">
        <v>21</v>
      </c>
      <c r="B127" s="4" t="s">
        <v>31</v>
      </c>
      <c r="C127" s="4" t="s">
        <v>23</v>
      </c>
      <c r="D127" s="4" t="s">
        <v>32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44531</v>
      </c>
      <c r="J127" s="6">
        <v>0</v>
      </c>
      <c r="K127" s="6">
        <v>0</v>
      </c>
      <c r="L127" s="6">
        <v>88.182000000000002</v>
      </c>
      <c r="M127" s="6">
        <v>88.182000000000002</v>
      </c>
      <c r="N127" s="6">
        <v>88.182000000000002</v>
      </c>
      <c r="O127" s="6">
        <v>88.182000000000002</v>
      </c>
      <c r="P127" s="6">
        <v>34</v>
      </c>
      <c r="Q127" s="4" t="s">
        <v>26</v>
      </c>
      <c r="R127" s="4">
        <v>0</v>
      </c>
      <c r="S127" s="6">
        <v>0</v>
      </c>
      <c r="T127" s="6">
        <v>39</v>
      </c>
      <c r="U127" s="6">
        <v>80</v>
      </c>
      <c r="V127" s="6">
        <f>IF(ISERROR(VLOOKUP($S$127,'TAR FIN'!$A$1:$O$85,15,0)),0,VLOOKUP($S$127,'TAR FIN'!$A$1:$O$85,15,0))</f>
        <v>0</v>
      </c>
      <c r="W127" s="6">
        <f>IF(ISERROR(VLOOKUP($T$127,'TAR FIN'!$A$1:$O$85,15,0)),0,VLOOKUP($T$127,'TAR FIN'!$A$1:$O$85,15,0))</f>
        <v>222.38</v>
      </c>
      <c r="X127" s="6">
        <f>IF(ISERROR(VLOOKUP($U$127,'TAR FIN'!$A$1:$O$85,15,0)),0,VLOOKUP($U$127,'TAR FIN'!$A$1:$O$85,15,0))</f>
        <v>241.37</v>
      </c>
      <c r="Y127" s="6"/>
      <c r="Z127" s="6">
        <f ca="1">('TUSD BE'!$AM$48+'TUSD BF'!$AM$48+'TUSD CVA'!$AM$48)*1</f>
        <v>279.53272487868679</v>
      </c>
      <c r="AA127" s="6">
        <f>('TE BE'!$AB$38+'TE BF'!$AB$38+'TE CVA'!$AB$38)*1</f>
        <v>239.91115615602757</v>
      </c>
      <c r="AB127" s="6">
        <f>$K$127*$V$127</f>
        <v>0</v>
      </c>
      <c r="AC127" s="6">
        <f>$M$127*$W$127</f>
        <v>19609.91316</v>
      </c>
      <c r="AD127" s="6">
        <f>$O$127*$X$127</f>
        <v>21284.48934</v>
      </c>
      <c r="AE127" s="6">
        <f>$K$127*$Y$127</f>
        <v>0</v>
      </c>
      <c r="AF127" s="6">
        <f ca="1">$M$127*$Z$127</f>
        <v>24649.754745252358</v>
      </c>
      <c r="AG127" s="6">
        <f>$O$127*$AA$127</f>
        <v>21155.845572150825</v>
      </c>
    </row>
    <row r="128" spans="1:33" ht="11.25" customHeight="1" x14ac:dyDescent="0.25">
      <c r="A128" s="4" t="s">
        <v>21</v>
      </c>
      <c r="B128" s="4" t="s">
        <v>31</v>
      </c>
      <c r="C128" s="4" t="s">
        <v>23</v>
      </c>
      <c r="D128" s="4" t="s">
        <v>32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44562</v>
      </c>
      <c r="J128" s="6">
        <v>0</v>
      </c>
      <c r="K128" s="6">
        <v>0</v>
      </c>
      <c r="L128" s="6">
        <v>53.51</v>
      </c>
      <c r="M128" s="6">
        <v>53.51</v>
      </c>
      <c r="N128" s="6">
        <v>53.51</v>
      </c>
      <c r="O128" s="6">
        <v>53.51</v>
      </c>
      <c r="P128" s="6">
        <v>35</v>
      </c>
      <c r="Q128" s="4" t="s">
        <v>26</v>
      </c>
      <c r="R128" s="4">
        <v>0</v>
      </c>
      <c r="S128" s="6">
        <v>0</v>
      </c>
      <c r="T128" s="6">
        <v>39</v>
      </c>
      <c r="U128" s="6">
        <v>80</v>
      </c>
      <c r="V128" s="6">
        <f>IF(ISERROR(VLOOKUP($S$128,'TAR FIN'!$A$1:$O$85,15,0)),0,VLOOKUP($S$128,'TAR FIN'!$A$1:$O$85,15,0))</f>
        <v>0</v>
      </c>
      <c r="W128" s="6">
        <f>IF(ISERROR(VLOOKUP($T$128,'TAR FIN'!$A$1:$O$85,15,0)),0,VLOOKUP($T$128,'TAR FIN'!$A$1:$O$85,15,0))</f>
        <v>222.38</v>
      </c>
      <c r="X128" s="6">
        <f>IF(ISERROR(VLOOKUP($U$128,'TAR FIN'!$A$1:$O$85,15,0)),0,VLOOKUP($U$128,'TAR FIN'!$A$1:$O$85,15,0))</f>
        <v>241.37</v>
      </c>
      <c r="Y128" s="6"/>
      <c r="Z128" s="6">
        <f ca="1">('TUSD BE'!$AM$48+'TUSD BF'!$AM$48+'TUSD CVA'!$AM$48)*1</f>
        <v>279.53272487868679</v>
      </c>
      <c r="AA128" s="6">
        <f>('TE BE'!$AB$38+'TE BF'!$AB$38+'TE CVA'!$AB$38)*1</f>
        <v>239.91115615602757</v>
      </c>
      <c r="AB128" s="6">
        <f>$K$128*$V$128</f>
        <v>0</v>
      </c>
      <c r="AC128" s="6">
        <f>$M$128*$W$128</f>
        <v>11899.5538</v>
      </c>
      <c r="AD128" s="6">
        <f>$O$128*$X$128</f>
        <v>12915.708699999999</v>
      </c>
      <c r="AE128" s="6">
        <f>$K$128*$Y$128</f>
        <v>0</v>
      </c>
      <c r="AF128" s="6">
        <f ca="1">$M$128*$Z$128</f>
        <v>14957.79610825853</v>
      </c>
      <c r="AG128" s="6">
        <f>$O$128*$AA$128</f>
        <v>12837.645965909034</v>
      </c>
    </row>
    <row r="129" spans="1:33" ht="11.25" customHeight="1" x14ac:dyDescent="0.25">
      <c r="A129" s="4" t="s">
        <v>21</v>
      </c>
      <c r="B129" s="4" t="s">
        <v>31</v>
      </c>
      <c r="C129" s="4" t="s">
        <v>23</v>
      </c>
      <c r="D129" s="4" t="s">
        <v>32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44593</v>
      </c>
      <c r="J129" s="6">
        <v>0</v>
      </c>
      <c r="K129" s="6">
        <v>0</v>
      </c>
      <c r="L129" s="6">
        <v>73.861000000000004</v>
      </c>
      <c r="M129" s="6">
        <v>73.861000000000004</v>
      </c>
      <c r="N129" s="6">
        <v>73.861000000000004</v>
      </c>
      <c r="O129" s="6">
        <v>73.861000000000004</v>
      </c>
      <c r="P129" s="6">
        <v>36</v>
      </c>
      <c r="Q129" s="4" t="s">
        <v>26</v>
      </c>
      <c r="R129" s="4">
        <v>0</v>
      </c>
      <c r="S129" s="6">
        <v>0</v>
      </c>
      <c r="T129" s="6">
        <v>39</v>
      </c>
      <c r="U129" s="6">
        <v>80</v>
      </c>
      <c r="V129" s="6">
        <f>IF(ISERROR(VLOOKUP($S$129,'TAR FIN'!$A$1:$O$85,15,0)),0,VLOOKUP($S$129,'TAR FIN'!$A$1:$O$85,15,0))</f>
        <v>0</v>
      </c>
      <c r="W129" s="6">
        <f>IF(ISERROR(VLOOKUP($T$129,'TAR FIN'!$A$1:$O$85,15,0)),0,VLOOKUP($T$129,'TAR FIN'!$A$1:$O$85,15,0))</f>
        <v>222.38</v>
      </c>
      <c r="X129" s="6">
        <f>IF(ISERROR(VLOOKUP($U$129,'TAR FIN'!$A$1:$O$85,15,0)),0,VLOOKUP($U$129,'TAR FIN'!$A$1:$O$85,15,0))</f>
        <v>241.37</v>
      </c>
      <c r="Y129" s="6"/>
      <c r="Z129" s="6">
        <f ca="1">('TUSD BE'!$AM$48+'TUSD BF'!$AM$48+'TUSD CVA'!$AM$48)*1</f>
        <v>279.53272487868679</v>
      </c>
      <c r="AA129" s="6">
        <f>('TE BE'!$AB$38+'TE BF'!$AB$38+'TE CVA'!$AB$38)*1</f>
        <v>239.91115615602757</v>
      </c>
      <c r="AB129" s="6">
        <f>$K$129*$V$129</f>
        <v>0</v>
      </c>
      <c r="AC129" s="6">
        <f>$M$129*$W$129</f>
        <v>16425.209180000002</v>
      </c>
      <c r="AD129" s="6">
        <f>$O$129*$X$129</f>
        <v>17827.829570000002</v>
      </c>
      <c r="AE129" s="6">
        <f>$K$129*$Y$129</f>
        <v>0</v>
      </c>
      <c r="AF129" s="6">
        <f ca="1">$M$129*$Z$129</f>
        <v>20646.566592264688</v>
      </c>
      <c r="AG129" s="6">
        <f>$O$129*$AA$129</f>
        <v>17720.077904840353</v>
      </c>
    </row>
    <row r="130" spans="1:33" ht="11.25" customHeight="1" x14ac:dyDescent="0.25">
      <c r="A130" s="4" t="s">
        <v>21</v>
      </c>
      <c r="B130" s="4" t="s">
        <v>31</v>
      </c>
      <c r="C130" s="4" t="s">
        <v>23</v>
      </c>
      <c r="D130" s="4" t="s">
        <v>32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44621</v>
      </c>
      <c r="J130" s="6">
        <v>0</v>
      </c>
      <c r="K130" s="6">
        <v>0</v>
      </c>
      <c r="L130" s="6">
        <v>83.23</v>
      </c>
      <c r="M130" s="6">
        <v>83.23</v>
      </c>
      <c r="N130" s="6">
        <v>83.23</v>
      </c>
      <c r="O130" s="6">
        <v>83.23</v>
      </c>
      <c r="P130" s="6">
        <v>35</v>
      </c>
      <c r="Q130" s="4" t="s">
        <v>26</v>
      </c>
      <c r="R130" s="4">
        <v>0</v>
      </c>
      <c r="S130" s="6">
        <v>0</v>
      </c>
      <c r="T130" s="6">
        <v>39</v>
      </c>
      <c r="U130" s="6">
        <v>80</v>
      </c>
      <c r="V130" s="6">
        <f>IF(ISERROR(VLOOKUP($S$130,'TAR FIN'!$A$1:$O$85,15,0)),0,VLOOKUP($S$130,'TAR FIN'!$A$1:$O$85,15,0))</f>
        <v>0</v>
      </c>
      <c r="W130" s="6">
        <f>IF(ISERROR(VLOOKUP($T$130,'TAR FIN'!$A$1:$O$85,15,0)),0,VLOOKUP($T$130,'TAR FIN'!$A$1:$O$85,15,0))</f>
        <v>222.38</v>
      </c>
      <c r="X130" s="6">
        <f>IF(ISERROR(VLOOKUP($U$130,'TAR FIN'!$A$1:$O$85,15,0)),0,VLOOKUP($U$130,'TAR FIN'!$A$1:$O$85,15,0))</f>
        <v>241.37</v>
      </c>
      <c r="Y130" s="6"/>
      <c r="Z130" s="6">
        <f ca="1">('TUSD BE'!$AM$48+'TUSD BF'!$AM$48+'TUSD CVA'!$AM$48)*1</f>
        <v>279.53272487868679</v>
      </c>
      <c r="AA130" s="6">
        <f>('TE BE'!$AB$38+'TE BF'!$AB$38+'TE CVA'!$AB$38)*1</f>
        <v>239.91115615602757</v>
      </c>
      <c r="AB130" s="6">
        <f>$K$130*$V$130</f>
        <v>0</v>
      </c>
      <c r="AC130" s="6">
        <f>$M$130*$W$130</f>
        <v>18508.687399999999</v>
      </c>
      <c r="AD130" s="6">
        <f>$O$130*$X$130</f>
        <v>20089.2251</v>
      </c>
      <c r="AE130" s="6">
        <f>$K$130*$Y$130</f>
        <v>0</v>
      </c>
      <c r="AF130" s="6">
        <f ca="1">$M$130*$Z$130</f>
        <v>23265.508691653104</v>
      </c>
      <c r="AG130" s="6">
        <f>$O$130*$AA$130</f>
        <v>19967.805526866177</v>
      </c>
    </row>
    <row r="131" spans="1:33" ht="11.25" customHeight="1" x14ac:dyDescent="0.25">
      <c r="A131" s="4" t="s">
        <v>21</v>
      </c>
      <c r="B131" s="4" t="s">
        <v>31</v>
      </c>
      <c r="C131" s="4" t="s">
        <v>23</v>
      </c>
      <c r="D131" s="4" t="s">
        <v>32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44652</v>
      </c>
      <c r="J131" s="6">
        <v>0</v>
      </c>
      <c r="K131" s="6">
        <v>0</v>
      </c>
      <c r="L131" s="6">
        <v>98.191000000000003</v>
      </c>
      <c r="M131" s="6">
        <v>98.191000000000003</v>
      </c>
      <c r="N131" s="6">
        <v>98.191000000000003</v>
      </c>
      <c r="O131" s="6">
        <v>98.191000000000003</v>
      </c>
      <c r="P131" s="6">
        <v>35</v>
      </c>
      <c r="Q131" s="4" t="s">
        <v>26</v>
      </c>
      <c r="R131" s="4">
        <v>0</v>
      </c>
      <c r="S131" s="6">
        <v>0</v>
      </c>
      <c r="T131" s="6">
        <v>39</v>
      </c>
      <c r="U131" s="6">
        <v>80</v>
      </c>
      <c r="V131" s="6">
        <f>IF(ISERROR(VLOOKUP($S$131,'TAR FIN'!$A$1:$O$85,15,0)),0,VLOOKUP($S$131,'TAR FIN'!$A$1:$O$85,15,0))</f>
        <v>0</v>
      </c>
      <c r="W131" s="6">
        <f>IF(ISERROR(VLOOKUP($T$131,'TAR FIN'!$A$1:$O$85,15,0)),0,VLOOKUP($T$131,'TAR FIN'!$A$1:$O$85,15,0))</f>
        <v>222.38</v>
      </c>
      <c r="X131" s="6">
        <f>IF(ISERROR(VLOOKUP($U$131,'TAR FIN'!$A$1:$O$85,15,0)),0,VLOOKUP($U$131,'TAR FIN'!$A$1:$O$85,15,0))</f>
        <v>241.37</v>
      </c>
      <c r="Y131" s="6"/>
      <c r="Z131" s="6">
        <f ca="1">('TUSD BE'!$AM$48+'TUSD BF'!$AM$48+'TUSD CVA'!$AM$48)*1</f>
        <v>279.53272487868679</v>
      </c>
      <c r="AA131" s="6">
        <f>('TE BE'!$AB$38+'TE BF'!$AB$38+'TE CVA'!$AB$38)*1</f>
        <v>239.91115615602757</v>
      </c>
      <c r="AB131" s="6">
        <f>$K$131*$V$131</f>
        <v>0</v>
      </c>
      <c r="AC131" s="6">
        <f>$M$131*$W$131</f>
        <v>21835.71458</v>
      </c>
      <c r="AD131" s="6">
        <f>$O$131*$X$131</f>
        <v>23700.361670000002</v>
      </c>
      <c r="AE131" s="6">
        <f>$K$131*$Y$131</f>
        <v>0</v>
      </c>
      <c r="AF131" s="6">
        <f ca="1">$M$131*$Z$131</f>
        <v>27447.597788563136</v>
      </c>
      <c r="AG131" s="6">
        <f>$O$131*$AA$131</f>
        <v>23557.116334116505</v>
      </c>
    </row>
    <row r="132" spans="1:33" ht="11.25" customHeight="1" x14ac:dyDescent="0.25">
      <c r="A132" s="4" t="s">
        <v>21</v>
      </c>
      <c r="B132" s="4" t="s">
        <v>31</v>
      </c>
      <c r="C132" s="4" t="s">
        <v>23</v>
      </c>
      <c r="D132" s="4" t="s">
        <v>32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44682</v>
      </c>
      <c r="J132" s="6">
        <v>0</v>
      </c>
      <c r="K132" s="6">
        <v>0</v>
      </c>
      <c r="L132" s="6">
        <v>72.741</v>
      </c>
      <c r="M132" s="6">
        <v>72.741</v>
      </c>
      <c r="N132" s="6">
        <v>72.741</v>
      </c>
      <c r="O132" s="6">
        <v>72.741</v>
      </c>
      <c r="P132" s="6">
        <v>35</v>
      </c>
      <c r="Q132" s="4" t="s">
        <v>26</v>
      </c>
      <c r="R132" s="4">
        <v>0</v>
      </c>
      <c r="S132" s="6">
        <v>0</v>
      </c>
      <c r="T132" s="6">
        <v>39</v>
      </c>
      <c r="U132" s="6">
        <v>80</v>
      </c>
      <c r="V132" s="6">
        <f>IF(ISERROR(VLOOKUP($S$132,'TAR FIN'!$A$1:$O$85,15,0)),0,VLOOKUP($S$132,'TAR FIN'!$A$1:$O$85,15,0))</f>
        <v>0</v>
      </c>
      <c r="W132" s="6">
        <f>IF(ISERROR(VLOOKUP($T$132,'TAR FIN'!$A$1:$O$85,15,0)),0,VLOOKUP($T$132,'TAR FIN'!$A$1:$O$85,15,0))</f>
        <v>222.38</v>
      </c>
      <c r="X132" s="6">
        <f>IF(ISERROR(VLOOKUP($U$132,'TAR FIN'!$A$1:$O$85,15,0)),0,VLOOKUP($U$132,'TAR FIN'!$A$1:$O$85,15,0))</f>
        <v>241.37</v>
      </c>
      <c r="Y132" s="6"/>
      <c r="Z132" s="6">
        <f ca="1">('TUSD BE'!$AM$48+'TUSD BF'!$AM$48+'TUSD CVA'!$AM$48)*1</f>
        <v>279.53272487868679</v>
      </c>
      <c r="AA132" s="6">
        <f>('TE BE'!$AB$38+'TE BF'!$AB$38+'TE CVA'!$AB$38)*1</f>
        <v>239.91115615602757</v>
      </c>
      <c r="AB132" s="6">
        <f>$K$132*$V$132</f>
        <v>0</v>
      </c>
      <c r="AC132" s="6">
        <f>$M$132*$W$132</f>
        <v>16176.14358</v>
      </c>
      <c r="AD132" s="6">
        <f>$O$132*$X$132</f>
        <v>17557.495170000002</v>
      </c>
      <c r="AE132" s="6">
        <f>$K$132*$Y$132</f>
        <v>0</v>
      </c>
      <c r="AF132" s="6">
        <f ca="1">$M$132*$Z$132</f>
        <v>20333.489940400555</v>
      </c>
      <c r="AG132" s="6">
        <f>$O$132*$AA$132</f>
        <v>17451.377409945602</v>
      </c>
    </row>
    <row r="133" spans="1:33" ht="11.25" customHeight="1" x14ac:dyDescent="0.25">
      <c r="A133" s="4" t="s">
        <v>21</v>
      </c>
      <c r="B133" s="4" t="s">
        <v>31</v>
      </c>
      <c r="C133" s="4" t="s">
        <v>23</v>
      </c>
      <c r="D133" s="4" t="s">
        <v>32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44713</v>
      </c>
      <c r="J133" s="6">
        <v>0</v>
      </c>
      <c r="K133" s="6">
        <v>0</v>
      </c>
      <c r="L133" s="6">
        <v>81.388999999999996</v>
      </c>
      <c r="M133" s="6">
        <v>81.388999999999996</v>
      </c>
      <c r="N133" s="6">
        <v>81.388999999999996</v>
      </c>
      <c r="O133" s="6">
        <v>81.388999999999996</v>
      </c>
      <c r="P133" s="6">
        <v>36</v>
      </c>
      <c r="Q133" s="4" t="s">
        <v>26</v>
      </c>
      <c r="R133" s="4">
        <v>0</v>
      </c>
      <c r="S133" s="6">
        <v>0</v>
      </c>
      <c r="T133" s="6">
        <v>39</v>
      </c>
      <c r="U133" s="6">
        <v>80</v>
      </c>
      <c r="V133" s="6">
        <f>IF(ISERROR(VLOOKUP($S$133,'TAR FIN'!$A$1:$O$85,15,0)),0,VLOOKUP($S$133,'TAR FIN'!$A$1:$O$85,15,0))</f>
        <v>0</v>
      </c>
      <c r="W133" s="6">
        <f>IF(ISERROR(VLOOKUP($T$133,'TAR FIN'!$A$1:$O$85,15,0)),0,VLOOKUP($T$133,'TAR FIN'!$A$1:$O$85,15,0))</f>
        <v>222.38</v>
      </c>
      <c r="X133" s="6">
        <f>IF(ISERROR(VLOOKUP($U$133,'TAR FIN'!$A$1:$O$85,15,0)),0,VLOOKUP($U$133,'TAR FIN'!$A$1:$O$85,15,0))</f>
        <v>241.37</v>
      </c>
      <c r="Y133" s="6"/>
      <c r="Z133" s="6">
        <f ca="1">('TUSD BE'!$AM$48+'TUSD BF'!$AM$48+'TUSD CVA'!$AM$48)*1</f>
        <v>279.53272487868679</v>
      </c>
      <c r="AA133" s="6">
        <f>('TE BE'!$AB$38+'TE BF'!$AB$38+'TE CVA'!$AB$38)*1</f>
        <v>239.91115615602757</v>
      </c>
      <c r="AB133" s="6">
        <f>$K$133*$V$133</f>
        <v>0</v>
      </c>
      <c r="AC133" s="6">
        <f>$M$133*$W$133</f>
        <v>18099.285819999997</v>
      </c>
      <c r="AD133" s="6">
        <f>$O$133*$X$133</f>
        <v>19644.862929999999</v>
      </c>
      <c r="AE133" s="6">
        <f>$K$133*$Y$133</f>
        <v>0</v>
      </c>
      <c r="AF133" s="6">
        <f ca="1">$M$133*$Z$133</f>
        <v>22750.888945151437</v>
      </c>
      <c r="AG133" s="6">
        <f>$O$133*$AA$133</f>
        <v>19526.129088382928</v>
      </c>
    </row>
    <row r="134" spans="1:33" ht="11.25" customHeight="1" x14ac:dyDescent="0.25">
      <c r="A134" s="4" t="s">
        <v>21</v>
      </c>
      <c r="B134" s="4" t="s">
        <v>31</v>
      </c>
      <c r="C134" s="4" t="s">
        <v>23</v>
      </c>
      <c r="D134" s="4" t="s">
        <v>32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44743</v>
      </c>
      <c r="J134" s="6">
        <v>0</v>
      </c>
      <c r="K134" s="6">
        <v>0</v>
      </c>
      <c r="L134" s="6">
        <v>73.849000000000004</v>
      </c>
      <c r="M134" s="6">
        <v>73.849000000000004</v>
      </c>
      <c r="N134" s="6">
        <v>73.849000000000004</v>
      </c>
      <c r="O134" s="6">
        <v>73.849000000000004</v>
      </c>
      <c r="P134" s="6">
        <v>36</v>
      </c>
      <c r="Q134" s="4" t="s">
        <v>26</v>
      </c>
      <c r="R134" s="4">
        <v>0</v>
      </c>
      <c r="S134" s="6">
        <v>0</v>
      </c>
      <c r="T134" s="6">
        <v>39</v>
      </c>
      <c r="U134" s="6">
        <v>80</v>
      </c>
      <c r="V134" s="6">
        <f>IF(ISERROR(VLOOKUP($S$134,'TAR FIN'!$A$1:$O$85,15,0)),0,VLOOKUP($S$134,'TAR FIN'!$A$1:$O$85,15,0))</f>
        <v>0</v>
      </c>
      <c r="W134" s="6">
        <f>IF(ISERROR(VLOOKUP($T$134,'TAR FIN'!$A$1:$O$85,15,0)),0,VLOOKUP($T$134,'TAR FIN'!$A$1:$O$85,15,0))</f>
        <v>222.38</v>
      </c>
      <c r="X134" s="6">
        <f>IF(ISERROR(VLOOKUP($U$134,'TAR FIN'!$A$1:$O$85,15,0)),0,VLOOKUP($U$134,'TAR FIN'!$A$1:$O$85,15,0))</f>
        <v>241.37</v>
      </c>
      <c r="Y134" s="6"/>
      <c r="Z134" s="6">
        <f ca="1">('TUSD BE'!$AM$48+'TUSD BF'!$AM$48+'TUSD CVA'!$AM$48)*1</f>
        <v>279.53272487868679</v>
      </c>
      <c r="AA134" s="6">
        <f>('TE BE'!$AB$38+'TE BF'!$AB$38+'TE CVA'!$AB$38)*1</f>
        <v>239.91115615602757</v>
      </c>
      <c r="AB134" s="6">
        <f>$K$134*$V$134</f>
        <v>0</v>
      </c>
      <c r="AC134" s="6">
        <f>$M$134*$W$134</f>
        <v>16422.54062</v>
      </c>
      <c r="AD134" s="6">
        <f>$O$134*$X$134</f>
        <v>17824.933130000001</v>
      </c>
      <c r="AE134" s="6">
        <f>$K$134*$Y$134</f>
        <v>0</v>
      </c>
      <c r="AF134" s="6">
        <f ca="1">$M$134*$Z$134</f>
        <v>20643.212199566144</v>
      </c>
      <c r="AG134" s="6">
        <f>$O$134*$AA$134</f>
        <v>17717.198970966481</v>
      </c>
    </row>
    <row r="135" spans="1:33" ht="11.25" customHeight="1" x14ac:dyDescent="0.25">
      <c r="A135" s="4" t="s">
        <v>21</v>
      </c>
      <c r="B135" s="4" t="s">
        <v>31</v>
      </c>
      <c r="C135" s="4" t="s">
        <v>23</v>
      </c>
      <c r="D135" s="4" t="s">
        <v>32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44774</v>
      </c>
      <c r="J135" s="6">
        <v>0</v>
      </c>
      <c r="K135" s="6">
        <v>0</v>
      </c>
      <c r="L135" s="6">
        <v>79.763999999999996</v>
      </c>
      <c r="M135" s="6">
        <v>79.763999999999996</v>
      </c>
      <c r="N135" s="6">
        <v>79.763999999999996</v>
      </c>
      <c r="O135" s="6">
        <v>79.763999999999996</v>
      </c>
      <c r="P135" s="6">
        <v>37</v>
      </c>
      <c r="Q135" s="4" t="s">
        <v>26</v>
      </c>
      <c r="R135" s="4">
        <v>0</v>
      </c>
      <c r="S135" s="6">
        <v>0</v>
      </c>
      <c r="T135" s="6">
        <v>39</v>
      </c>
      <c r="U135" s="6">
        <v>80</v>
      </c>
      <c r="V135" s="6">
        <f>IF(ISERROR(VLOOKUP($S$135,'TAR FIN'!$A$1:$O$85,15,0)),0,VLOOKUP($S$135,'TAR FIN'!$A$1:$O$85,15,0))</f>
        <v>0</v>
      </c>
      <c r="W135" s="6">
        <f>IF(ISERROR(VLOOKUP($T$135,'TAR FIN'!$A$1:$O$85,15,0)),0,VLOOKUP($T$135,'TAR FIN'!$A$1:$O$85,15,0))</f>
        <v>222.38</v>
      </c>
      <c r="X135" s="6">
        <f>IF(ISERROR(VLOOKUP($U$135,'TAR FIN'!$A$1:$O$85,15,0)),0,VLOOKUP($U$135,'TAR FIN'!$A$1:$O$85,15,0))</f>
        <v>241.37</v>
      </c>
      <c r="Y135" s="6"/>
      <c r="Z135" s="6">
        <f ca="1">('TUSD BE'!$AM$48+'TUSD BF'!$AM$48+'TUSD CVA'!$AM$48)*1</f>
        <v>279.53272487868679</v>
      </c>
      <c r="AA135" s="6">
        <f>('TE BE'!$AB$38+'TE BF'!$AB$38+'TE CVA'!$AB$38)*1</f>
        <v>239.91115615602757</v>
      </c>
      <c r="AB135" s="6">
        <f>$K$135*$V$135</f>
        <v>0</v>
      </c>
      <c r="AC135" s="6">
        <f>$M$135*$W$135</f>
        <v>17737.918319999997</v>
      </c>
      <c r="AD135" s="6">
        <f>$O$135*$X$135</f>
        <v>19252.63668</v>
      </c>
      <c r="AE135" s="6">
        <f>$K$135*$Y$135</f>
        <v>0</v>
      </c>
      <c r="AF135" s="6">
        <f ca="1">$M$135*$Z$135</f>
        <v>22296.648267223572</v>
      </c>
      <c r="AG135" s="6">
        <f>$O$135*$AA$135</f>
        <v>19136.273459629381</v>
      </c>
    </row>
    <row r="136" spans="1:33" ht="11.25" customHeight="1" x14ac:dyDescent="0.25">
      <c r="A136" s="4" t="s">
        <v>21</v>
      </c>
      <c r="B136" s="4" t="s">
        <v>31</v>
      </c>
      <c r="C136" s="4" t="s">
        <v>23</v>
      </c>
      <c r="D136" s="4" t="s">
        <v>41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44440</v>
      </c>
      <c r="J136" s="6">
        <v>0</v>
      </c>
      <c r="K136" s="6">
        <v>0</v>
      </c>
      <c r="L136" s="6">
        <v>6.6059999999999999</v>
      </c>
      <c r="M136" s="6">
        <v>6.6059999999999999</v>
      </c>
      <c r="N136" s="6">
        <v>6.6059999999999999</v>
      </c>
      <c r="O136" s="6">
        <v>6.6059999999999999</v>
      </c>
      <c r="P136" s="6">
        <v>14</v>
      </c>
      <c r="Q136" s="4" t="s">
        <v>26</v>
      </c>
      <c r="R136" s="4">
        <v>0</v>
      </c>
      <c r="S136" s="6">
        <v>0</v>
      </c>
      <c r="T136" s="6">
        <v>39</v>
      </c>
      <c r="U136" s="6">
        <v>80</v>
      </c>
      <c r="V136" s="6">
        <f>IF(ISERROR(VLOOKUP($S$136,'TAR FIN'!$A$1:$O$85,15,0)),0,VLOOKUP($S$136,'TAR FIN'!$A$1:$O$85,15,0))</f>
        <v>0</v>
      </c>
      <c r="W136" s="6">
        <f>IF(ISERROR(VLOOKUP($T$136,'TAR FIN'!$A$1:$O$85,15,0)),0,VLOOKUP($T$136,'TAR FIN'!$A$1:$O$85,15,0))</f>
        <v>222.38</v>
      </c>
      <c r="X136" s="6">
        <f>IF(ISERROR(VLOOKUP($U$136,'TAR FIN'!$A$1:$O$85,15,0)),0,VLOOKUP($U$136,'TAR FIN'!$A$1:$O$85,15,0))</f>
        <v>241.37</v>
      </c>
      <c r="Y136" s="6"/>
      <c r="Z136" s="6">
        <f ca="1">('TUSD BE'!$AM$48+'TUSD BF'!$AM$48+'TUSD CVA'!$AM$48)*1</f>
        <v>279.53272487868679</v>
      </c>
      <c r="AA136" s="6">
        <f>('TE BE'!$AB$38+'TE BF'!$AB$38+'TE CVA'!$AB$38)*1</f>
        <v>239.91115615602757</v>
      </c>
      <c r="AB136" s="6">
        <f>$K$136*$V$136</f>
        <v>0</v>
      </c>
      <c r="AC136" s="6">
        <f>$M$136*$W$136</f>
        <v>1469.0422799999999</v>
      </c>
      <c r="AD136" s="6">
        <f>$O$136*$X$136</f>
        <v>1594.4902199999999</v>
      </c>
      <c r="AE136" s="6">
        <f>$K$136*$Y$136</f>
        <v>0</v>
      </c>
      <c r="AF136" s="6">
        <f ca="1">$M$136*$Z$136</f>
        <v>1846.593180548605</v>
      </c>
      <c r="AG136" s="6">
        <f>$O$136*$AA$136</f>
        <v>1584.8530975667181</v>
      </c>
    </row>
    <row r="137" spans="1:33" ht="11.25" customHeight="1" x14ac:dyDescent="0.25">
      <c r="A137" s="4" t="s">
        <v>21</v>
      </c>
      <c r="B137" s="4" t="s">
        <v>31</v>
      </c>
      <c r="C137" s="4" t="s">
        <v>23</v>
      </c>
      <c r="D137" s="4" t="s">
        <v>41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44470</v>
      </c>
      <c r="J137" s="6">
        <v>0</v>
      </c>
      <c r="K137" s="6">
        <v>0</v>
      </c>
      <c r="L137" s="6">
        <v>6.6189999999999998</v>
      </c>
      <c r="M137" s="6">
        <v>6.6189999999999998</v>
      </c>
      <c r="N137" s="6">
        <v>6.6189999999999998</v>
      </c>
      <c r="O137" s="6">
        <v>6.6189999999999998</v>
      </c>
      <c r="P137" s="6">
        <v>14</v>
      </c>
      <c r="Q137" s="4" t="s">
        <v>26</v>
      </c>
      <c r="R137" s="4">
        <v>0</v>
      </c>
      <c r="S137" s="6">
        <v>0</v>
      </c>
      <c r="T137" s="6">
        <v>39</v>
      </c>
      <c r="U137" s="6">
        <v>80</v>
      </c>
      <c r="V137" s="6">
        <f>IF(ISERROR(VLOOKUP($S$137,'TAR FIN'!$A$1:$O$85,15,0)),0,VLOOKUP($S$137,'TAR FIN'!$A$1:$O$85,15,0))</f>
        <v>0</v>
      </c>
      <c r="W137" s="6">
        <f>IF(ISERROR(VLOOKUP($T$137,'TAR FIN'!$A$1:$O$85,15,0)),0,VLOOKUP($T$137,'TAR FIN'!$A$1:$O$85,15,0))</f>
        <v>222.38</v>
      </c>
      <c r="X137" s="6">
        <f>IF(ISERROR(VLOOKUP($U$137,'TAR FIN'!$A$1:$O$85,15,0)),0,VLOOKUP($U$137,'TAR FIN'!$A$1:$O$85,15,0))</f>
        <v>241.37</v>
      </c>
      <c r="Y137" s="6"/>
      <c r="Z137" s="6">
        <f ca="1">('TUSD BE'!$AM$48+'TUSD BF'!$AM$48+'TUSD CVA'!$AM$48)*1</f>
        <v>279.53272487868679</v>
      </c>
      <c r="AA137" s="6">
        <f>('TE BE'!$AB$38+'TE BF'!$AB$38+'TE CVA'!$AB$38)*1</f>
        <v>239.91115615602757</v>
      </c>
      <c r="AB137" s="6">
        <f>$K$137*$V$137</f>
        <v>0</v>
      </c>
      <c r="AC137" s="6">
        <f>$M$137*$W$137</f>
        <v>1471.9332199999999</v>
      </c>
      <c r="AD137" s="6">
        <f>$O$137*$X$137</f>
        <v>1597.6280300000001</v>
      </c>
      <c r="AE137" s="6">
        <f>$K$137*$Y$137</f>
        <v>0</v>
      </c>
      <c r="AF137" s="6">
        <f ca="1">$M$137*$Z$137</f>
        <v>1850.2271059720279</v>
      </c>
      <c r="AG137" s="6">
        <f>$O$137*$AA$137</f>
        <v>1587.9719425967464</v>
      </c>
    </row>
    <row r="138" spans="1:33" ht="11.25" customHeight="1" x14ac:dyDescent="0.25">
      <c r="A138" s="4" t="s">
        <v>21</v>
      </c>
      <c r="B138" s="4" t="s">
        <v>31</v>
      </c>
      <c r="C138" s="4" t="s">
        <v>23</v>
      </c>
      <c r="D138" s="4" t="s">
        <v>41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44501</v>
      </c>
      <c r="J138" s="6">
        <v>0</v>
      </c>
      <c r="K138" s="6">
        <v>0</v>
      </c>
      <c r="L138" s="6">
        <v>6.8410000000000002</v>
      </c>
      <c r="M138" s="6">
        <v>6.8410000000000002</v>
      </c>
      <c r="N138" s="6">
        <v>6.8410000000000002</v>
      </c>
      <c r="O138" s="6">
        <v>6.8410000000000002</v>
      </c>
      <c r="P138" s="6">
        <v>14</v>
      </c>
      <c r="Q138" s="4" t="s">
        <v>26</v>
      </c>
      <c r="R138" s="4">
        <v>0</v>
      </c>
      <c r="S138" s="6">
        <v>0</v>
      </c>
      <c r="T138" s="6">
        <v>39</v>
      </c>
      <c r="U138" s="6">
        <v>80</v>
      </c>
      <c r="V138" s="6">
        <f>IF(ISERROR(VLOOKUP($S$138,'TAR FIN'!$A$1:$O$85,15,0)),0,VLOOKUP($S$138,'TAR FIN'!$A$1:$O$85,15,0))</f>
        <v>0</v>
      </c>
      <c r="W138" s="6">
        <f>IF(ISERROR(VLOOKUP($T$138,'TAR FIN'!$A$1:$O$85,15,0)),0,VLOOKUP($T$138,'TAR FIN'!$A$1:$O$85,15,0))</f>
        <v>222.38</v>
      </c>
      <c r="X138" s="6">
        <f>IF(ISERROR(VLOOKUP($U$138,'TAR FIN'!$A$1:$O$85,15,0)),0,VLOOKUP($U$138,'TAR FIN'!$A$1:$O$85,15,0))</f>
        <v>241.37</v>
      </c>
      <c r="Y138" s="6"/>
      <c r="Z138" s="6">
        <f ca="1">('TUSD BE'!$AM$48+'TUSD BF'!$AM$48+'TUSD CVA'!$AM$48)*1</f>
        <v>279.53272487868679</v>
      </c>
      <c r="AA138" s="6">
        <f>('TE BE'!$AB$38+'TE BF'!$AB$38+'TE CVA'!$AB$38)*1</f>
        <v>239.91115615602757</v>
      </c>
      <c r="AB138" s="6">
        <f>$K$138*$V$138</f>
        <v>0</v>
      </c>
      <c r="AC138" s="6">
        <f>$M$138*$W$138</f>
        <v>1521.3015800000001</v>
      </c>
      <c r="AD138" s="6">
        <f>$O$138*$X$138</f>
        <v>1651.21217</v>
      </c>
      <c r="AE138" s="6">
        <f>$K$138*$Y$138</f>
        <v>0</v>
      </c>
      <c r="AF138" s="6">
        <f ca="1">$M$138*$Z$138</f>
        <v>1912.2833708950964</v>
      </c>
      <c r="AG138" s="6">
        <f>$O$138*$AA$138</f>
        <v>1641.2322192633846</v>
      </c>
    </row>
    <row r="139" spans="1:33" ht="11.25" customHeight="1" x14ac:dyDescent="0.25">
      <c r="A139" s="4" t="s">
        <v>21</v>
      </c>
      <c r="B139" s="4" t="s">
        <v>31</v>
      </c>
      <c r="C139" s="4" t="s">
        <v>23</v>
      </c>
      <c r="D139" s="4" t="s">
        <v>41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44531</v>
      </c>
      <c r="J139" s="6">
        <v>0</v>
      </c>
      <c r="K139" s="6">
        <v>0</v>
      </c>
      <c r="L139" s="6">
        <v>7.8449999999999998</v>
      </c>
      <c r="M139" s="6">
        <v>7.8449999999999998</v>
      </c>
      <c r="N139" s="6">
        <v>7.8449999999999998</v>
      </c>
      <c r="O139" s="6">
        <v>7.8449999999999998</v>
      </c>
      <c r="P139" s="6">
        <v>14</v>
      </c>
      <c r="Q139" s="4" t="s">
        <v>26</v>
      </c>
      <c r="R139" s="4">
        <v>0</v>
      </c>
      <c r="S139" s="6">
        <v>0</v>
      </c>
      <c r="T139" s="6">
        <v>39</v>
      </c>
      <c r="U139" s="6">
        <v>80</v>
      </c>
      <c r="V139" s="6">
        <f>IF(ISERROR(VLOOKUP($S$139,'TAR FIN'!$A$1:$O$85,15,0)),0,VLOOKUP($S$139,'TAR FIN'!$A$1:$O$85,15,0))</f>
        <v>0</v>
      </c>
      <c r="W139" s="6">
        <f>IF(ISERROR(VLOOKUP($T$139,'TAR FIN'!$A$1:$O$85,15,0)),0,VLOOKUP($T$139,'TAR FIN'!$A$1:$O$85,15,0))</f>
        <v>222.38</v>
      </c>
      <c r="X139" s="6">
        <f>IF(ISERROR(VLOOKUP($U$139,'TAR FIN'!$A$1:$O$85,15,0)),0,VLOOKUP($U$139,'TAR FIN'!$A$1:$O$85,15,0))</f>
        <v>241.37</v>
      </c>
      <c r="Y139" s="6"/>
      <c r="Z139" s="6">
        <f ca="1">('TUSD BE'!$AM$48+'TUSD BF'!$AM$48+'TUSD CVA'!$AM$48)*1</f>
        <v>279.53272487868679</v>
      </c>
      <c r="AA139" s="6">
        <f>('TE BE'!$AB$38+'TE BF'!$AB$38+'TE CVA'!$AB$38)*1</f>
        <v>239.91115615602757</v>
      </c>
      <c r="AB139" s="6">
        <f>$K$139*$V$139</f>
        <v>0</v>
      </c>
      <c r="AC139" s="6">
        <f>$M$139*$W$139</f>
        <v>1744.5710999999999</v>
      </c>
      <c r="AD139" s="6">
        <f>$O$139*$X$139</f>
        <v>1893.54765</v>
      </c>
      <c r="AE139" s="6">
        <f>$K$139*$Y$139</f>
        <v>0</v>
      </c>
      <c r="AF139" s="6">
        <f ca="1">$M$139*$Z$139</f>
        <v>2192.9342266732979</v>
      </c>
      <c r="AG139" s="6">
        <f>$O$139*$AA$139</f>
        <v>1882.1030200440362</v>
      </c>
    </row>
    <row r="140" spans="1:33" ht="11.25" customHeight="1" x14ac:dyDescent="0.25">
      <c r="A140" s="4" t="s">
        <v>21</v>
      </c>
      <c r="B140" s="4" t="s">
        <v>31</v>
      </c>
      <c r="C140" s="4" t="s">
        <v>23</v>
      </c>
      <c r="D140" s="4" t="s">
        <v>41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44562</v>
      </c>
      <c r="J140" s="6">
        <v>0</v>
      </c>
      <c r="K140" s="6">
        <v>0</v>
      </c>
      <c r="L140" s="6">
        <v>7.9379999999999997</v>
      </c>
      <c r="M140" s="6">
        <v>7.9379999999999997</v>
      </c>
      <c r="N140" s="6">
        <v>7.9379999999999997</v>
      </c>
      <c r="O140" s="6">
        <v>7.9379999999999997</v>
      </c>
      <c r="P140" s="6">
        <v>15</v>
      </c>
      <c r="Q140" s="4" t="s">
        <v>26</v>
      </c>
      <c r="R140" s="4">
        <v>0</v>
      </c>
      <c r="S140" s="6">
        <v>0</v>
      </c>
      <c r="T140" s="6">
        <v>39</v>
      </c>
      <c r="U140" s="6">
        <v>80</v>
      </c>
      <c r="V140" s="6">
        <f>IF(ISERROR(VLOOKUP($S$140,'TAR FIN'!$A$1:$O$85,15,0)),0,VLOOKUP($S$140,'TAR FIN'!$A$1:$O$85,15,0))</f>
        <v>0</v>
      </c>
      <c r="W140" s="6">
        <f>IF(ISERROR(VLOOKUP($T$140,'TAR FIN'!$A$1:$O$85,15,0)),0,VLOOKUP($T$140,'TAR FIN'!$A$1:$O$85,15,0))</f>
        <v>222.38</v>
      </c>
      <c r="X140" s="6">
        <f>IF(ISERROR(VLOOKUP($U$140,'TAR FIN'!$A$1:$O$85,15,0)),0,VLOOKUP($U$140,'TAR FIN'!$A$1:$O$85,15,0))</f>
        <v>241.37</v>
      </c>
      <c r="Y140" s="6"/>
      <c r="Z140" s="6">
        <f ca="1">('TUSD BE'!$AM$48+'TUSD BF'!$AM$48+'TUSD CVA'!$AM$48)*1</f>
        <v>279.53272487868679</v>
      </c>
      <c r="AA140" s="6">
        <f>('TE BE'!$AB$38+'TE BF'!$AB$38+'TE CVA'!$AB$38)*1</f>
        <v>239.91115615602757</v>
      </c>
      <c r="AB140" s="6">
        <f>$K$140*$V$140</f>
        <v>0</v>
      </c>
      <c r="AC140" s="6">
        <f>$M$140*$W$140</f>
        <v>1765.25244</v>
      </c>
      <c r="AD140" s="6">
        <f>$O$140*$X$140</f>
        <v>1915.99506</v>
      </c>
      <c r="AE140" s="6">
        <f>$K$140*$Y$140</f>
        <v>0</v>
      </c>
      <c r="AF140" s="6">
        <f ca="1">$M$140*$Z$140</f>
        <v>2218.9307700870158</v>
      </c>
      <c r="AG140" s="6">
        <f>$O$140*$AA$140</f>
        <v>1904.4147575665468</v>
      </c>
    </row>
    <row r="141" spans="1:33" ht="11.25" customHeight="1" x14ac:dyDescent="0.25">
      <c r="A141" s="4" t="s">
        <v>21</v>
      </c>
      <c r="B141" s="4" t="s">
        <v>31</v>
      </c>
      <c r="C141" s="4" t="s">
        <v>23</v>
      </c>
      <c r="D141" s="4" t="s">
        <v>41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44593</v>
      </c>
      <c r="J141" s="6">
        <v>0</v>
      </c>
      <c r="K141" s="6">
        <v>0</v>
      </c>
      <c r="L141" s="6">
        <v>10.428000000000001</v>
      </c>
      <c r="M141" s="6">
        <v>10.428000000000001</v>
      </c>
      <c r="N141" s="6">
        <v>10.428000000000001</v>
      </c>
      <c r="O141" s="6">
        <v>10.428000000000001</v>
      </c>
      <c r="P141" s="6">
        <v>15</v>
      </c>
      <c r="Q141" s="4" t="s">
        <v>26</v>
      </c>
      <c r="R141" s="4">
        <v>0</v>
      </c>
      <c r="S141" s="6">
        <v>0</v>
      </c>
      <c r="T141" s="6">
        <v>39</v>
      </c>
      <c r="U141" s="6">
        <v>80</v>
      </c>
      <c r="V141" s="6">
        <f>IF(ISERROR(VLOOKUP($S$141,'TAR FIN'!$A$1:$O$85,15,0)),0,VLOOKUP($S$141,'TAR FIN'!$A$1:$O$85,15,0))</f>
        <v>0</v>
      </c>
      <c r="W141" s="6">
        <f>IF(ISERROR(VLOOKUP($T$141,'TAR FIN'!$A$1:$O$85,15,0)),0,VLOOKUP($T$141,'TAR FIN'!$A$1:$O$85,15,0))</f>
        <v>222.38</v>
      </c>
      <c r="X141" s="6">
        <f>IF(ISERROR(VLOOKUP($U$141,'TAR FIN'!$A$1:$O$85,15,0)),0,VLOOKUP($U$141,'TAR FIN'!$A$1:$O$85,15,0))</f>
        <v>241.37</v>
      </c>
      <c r="Y141" s="6"/>
      <c r="Z141" s="6">
        <f ca="1">('TUSD BE'!$AM$48+'TUSD BF'!$AM$48+'TUSD CVA'!$AM$48)*1</f>
        <v>279.53272487868679</v>
      </c>
      <c r="AA141" s="6">
        <f>('TE BE'!$AB$38+'TE BF'!$AB$38+'TE CVA'!$AB$38)*1</f>
        <v>239.91115615602757</v>
      </c>
      <c r="AB141" s="6">
        <f>$K$141*$V$141</f>
        <v>0</v>
      </c>
      <c r="AC141" s="6">
        <f>$M$141*$W$141</f>
        <v>2318.9786400000003</v>
      </c>
      <c r="AD141" s="6">
        <f>$O$141*$X$141</f>
        <v>2517.0063600000003</v>
      </c>
      <c r="AE141" s="6">
        <f>$K$141*$Y$141</f>
        <v>0</v>
      </c>
      <c r="AF141" s="6">
        <f ca="1">$M$141*$Z$141</f>
        <v>2914.967255034946</v>
      </c>
      <c r="AG141" s="6">
        <f>$O$141*$AA$141</f>
        <v>2501.7935363950555</v>
      </c>
    </row>
    <row r="142" spans="1:33" ht="11.25" customHeight="1" x14ac:dyDescent="0.25">
      <c r="A142" s="4" t="s">
        <v>21</v>
      </c>
      <c r="B142" s="4" t="s">
        <v>31</v>
      </c>
      <c r="C142" s="4" t="s">
        <v>23</v>
      </c>
      <c r="D142" s="4" t="s">
        <v>41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44621</v>
      </c>
      <c r="J142" s="6">
        <v>0</v>
      </c>
      <c r="K142" s="6">
        <v>0</v>
      </c>
      <c r="L142" s="6">
        <v>13.288</v>
      </c>
      <c r="M142" s="6">
        <v>13.288</v>
      </c>
      <c r="N142" s="6">
        <v>13.288</v>
      </c>
      <c r="O142" s="6">
        <v>13.288</v>
      </c>
      <c r="P142" s="6">
        <v>15</v>
      </c>
      <c r="Q142" s="4" t="s">
        <v>26</v>
      </c>
      <c r="R142" s="4">
        <v>0</v>
      </c>
      <c r="S142" s="6">
        <v>0</v>
      </c>
      <c r="T142" s="6">
        <v>39</v>
      </c>
      <c r="U142" s="6">
        <v>80</v>
      </c>
      <c r="V142" s="6">
        <f>IF(ISERROR(VLOOKUP($S$142,'TAR FIN'!$A$1:$O$85,15,0)),0,VLOOKUP($S$142,'TAR FIN'!$A$1:$O$85,15,0))</f>
        <v>0</v>
      </c>
      <c r="W142" s="6">
        <f>IF(ISERROR(VLOOKUP($T$142,'TAR FIN'!$A$1:$O$85,15,0)),0,VLOOKUP($T$142,'TAR FIN'!$A$1:$O$85,15,0))</f>
        <v>222.38</v>
      </c>
      <c r="X142" s="6">
        <f>IF(ISERROR(VLOOKUP($U$142,'TAR FIN'!$A$1:$O$85,15,0)),0,VLOOKUP($U$142,'TAR FIN'!$A$1:$O$85,15,0))</f>
        <v>241.37</v>
      </c>
      <c r="Y142" s="6"/>
      <c r="Z142" s="6">
        <f ca="1">('TUSD BE'!$AM$48+'TUSD BF'!$AM$48+'TUSD CVA'!$AM$48)*1</f>
        <v>279.53272487868679</v>
      </c>
      <c r="AA142" s="6">
        <f>('TE BE'!$AB$38+'TE BF'!$AB$38+'TE CVA'!$AB$38)*1</f>
        <v>239.91115615602757</v>
      </c>
      <c r="AB142" s="6">
        <f>$K$142*$V$142</f>
        <v>0</v>
      </c>
      <c r="AC142" s="6">
        <f>$M$142*$W$142</f>
        <v>2954.9854399999999</v>
      </c>
      <c r="AD142" s="6">
        <f>$O$142*$X$142</f>
        <v>3207.32456</v>
      </c>
      <c r="AE142" s="6">
        <f>$K$142*$Y$142</f>
        <v>0</v>
      </c>
      <c r="AF142" s="6">
        <f ca="1">$M$142*$Z$142</f>
        <v>3714.4308481879903</v>
      </c>
      <c r="AG142" s="6">
        <f>$O$142*$AA$142</f>
        <v>3187.9394430012944</v>
      </c>
    </row>
    <row r="143" spans="1:33" ht="11.25" customHeight="1" x14ac:dyDescent="0.25">
      <c r="A143" s="4" t="s">
        <v>21</v>
      </c>
      <c r="B143" s="4" t="s">
        <v>31</v>
      </c>
      <c r="C143" s="4" t="s">
        <v>23</v>
      </c>
      <c r="D143" s="4" t="s">
        <v>41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44652</v>
      </c>
      <c r="J143" s="6">
        <v>0</v>
      </c>
      <c r="K143" s="6">
        <v>0</v>
      </c>
      <c r="L143" s="6">
        <v>10.308999999999999</v>
      </c>
      <c r="M143" s="6">
        <v>10.308999999999999</v>
      </c>
      <c r="N143" s="6">
        <v>10.308999999999999</v>
      </c>
      <c r="O143" s="6">
        <v>10.308999999999999</v>
      </c>
      <c r="P143" s="6">
        <v>15</v>
      </c>
      <c r="Q143" s="4" t="s">
        <v>26</v>
      </c>
      <c r="R143" s="4">
        <v>0</v>
      </c>
      <c r="S143" s="6">
        <v>0</v>
      </c>
      <c r="T143" s="6">
        <v>39</v>
      </c>
      <c r="U143" s="6">
        <v>80</v>
      </c>
      <c r="V143" s="6">
        <f>IF(ISERROR(VLOOKUP($S$143,'TAR FIN'!$A$1:$O$85,15,0)),0,VLOOKUP($S$143,'TAR FIN'!$A$1:$O$85,15,0))</f>
        <v>0</v>
      </c>
      <c r="W143" s="6">
        <f>IF(ISERROR(VLOOKUP($T$143,'TAR FIN'!$A$1:$O$85,15,0)),0,VLOOKUP($T$143,'TAR FIN'!$A$1:$O$85,15,0))</f>
        <v>222.38</v>
      </c>
      <c r="X143" s="6">
        <f>IF(ISERROR(VLOOKUP($U$143,'TAR FIN'!$A$1:$O$85,15,0)),0,VLOOKUP($U$143,'TAR FIN'!$A$1:$O$85,15,0))</f>
        <v>241.37</v>
      </c>
      <c r="Y143" s="6"/>
      <c r="Z143" s="6">
        <f ca="1">('TUSD BE'!$AM$48+'TUSD BF'!$AM$48+'TUSD CVA'!$AM$48)*1</f>
        <v>279.53272487868679</v>
      </c>
      <c r="AA143" s="6">
        <f>('TE BE'!$AB$38+'TE BF'!$AB$38+'TE CVA'!$AB$38)*1</f>
        <v>239.91115615602757</v>
      </c>
      <c r="AB143" s="6">
        <f>$K$143*$V$143</f>
        <v>0</v>
      </c>
      <c r="AC143" s="6">
        <f>$M$143*$W$143</f>
        <v>2292.5154199999997</v>
      </c>
      <c r="AD143" s="6">
        <f>$O$143*$X$143</f>
        <v>2488.2833299999998</v>
      </c>
      <c r="AE143" s="6">
        <f>$K$143*$Y$143</f>
        <v>0</v>
      </c>
      <c r="AF143" s="6">
        <f ca="1">$M$143*$Z$143</f>
        <v>2881.7028607743819</v>
      </c>
      <c r="AG143" s="6">
        <f>$O$143*$AA$143</f>
        <v>2473.2441088124879</v>
      </c>
    </row>
    <row r="144" spans="1:33" ht="11.25" customHeight="1" x14ac:dyDescent="0.25">
      <c r="A144" s="4" t="s">
        <v>21</v>
      </c>
      <c r="B144" s="4" t="s">
        <v>31</v>
      </c>
      <c r="C144" s="4" t="s">
        <v>23</v>
      </c>
      <c r="D144" s="4" t="s">
        <v>41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44682</v>
      </c>
      <c r="J144" s="6">
        <v>0</v>
      </c>
      <c r="K144" s="6">
        <v>0</v>
      </c>
      <c r="L144" s="6">
        <v>8.0749999999999993</v>
      </c>
      <c r="M144" s="6">
        <v>8.0749999999999993</v>
      </c>
      <c r="N144" s="6">
        <v>8.0749999999999993</v>
      </c>
      <c r="O144" s="6">
        <v>8.0749999999999993</v>
      </c>
      <c r="P144" s="6">
        <v>15</v>
      </c>
      <c r="Q144" s="4" t="s">
        <v>26</v>
      </c>
      <c r="R144" s="4">
        <v>0</v>
      </c>
      <c r="S144" s="6">
        <v>0</v>
      </c>
      <c r="T144" s="6">
        <v>39</v>
      </c>
      <c r="U144" s="6">
        <v>80</v>
      </c>
      <c r="V144" s="6">
        <f>IF(ISERROR(VLOOKUP($S$144,'TAR FIN'!$A$1:$O$85,15,0)),0,VLOOKUP($S$144,'TAR FIN'!$A$1:$O$85,15,0))</f>
        <v>0</v>
      </c>
      <c r="W144" s="6">
        <f>IF(ISERROR(VLOOKUP($T$144,'TAR FIN'!$A$1:$O$85,15,0)),0,VLOOKUP($T$144,'TAR FIN'!$A$1:$O$85,15,0))</f>
        <v>222.38</v>
      </c>
      <c r="X144" s="6">
        <f>IF(ISERROR(VLOOKUP($U$144,'TAR FIN'!$A$1:$O$85,15,0)),0,VLOOKUP($U$144,'TAR FIN'!$A$1:$O$85,15,0))</f>
        <v>241.37</v>
      </c>
      <c r="Y144" s="6"/>
      <c r="Z144" s="6">
        <f ca="1">('TUSD BE'!$AM$48+'TUSD BF'!$AM$48+'TUSD CVA'!$AM$48)*1</f>
        <v>279.53272487868679</v>
      </c>
      <c r="AA144" s="6">
        <f>('TE BE'!$AB$38+'TE BF'!$AB$38+'TE CVA'!$AB$38)*1</f>
        <v>239.91115615602757</v>
      </c>
      <c r="AB144" s="6">
        <f>$K$144*$V$144</f>
        <v>0</v>
      </c>
      <c r="AC144" s="6">
        <f>$M$144*$W$144</f>
        <v>1795.7184999999997</v>
      </c>
      <c r="AD144" s="6">
        <f>$O$144*$X$144</f>
        <v>1949.0627499999998</v>
      </c>
      <c r="AE144" s="6">
        <f>$K$144*$Y$144</f>
        <v>0</v>
      </c>
      <c r="AF144" s="6">
        <f ca="1">$M$144*$Z$144</f>
        <v>2257.2267533953955</v>
      </c>
      <c r="AG144" s="6">
        <f>$O$144*$AA$144</f>
        <v>1937.2825859599225</v>
      </c>
    </row>
    <row r="145" spans="1:33" ht="11.25" customHeight="1" x14ac:dyDescent="0.25">
      <c r="A145" s="4" t="s">
        <v>21</v>
      </c>
      <c r="B145" s="4" t="s">
        <v>31</v>
      </c>
      <c r="C145" s="4" t="s">
        <v>23</v>
      </c>
      <c r="D145" s="4" t="s">
        <v>41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44713</v>
      </c>
      <c r="J145" s="6">
        <v>0</v>
      </c>
      <c r="K145" s="6">
        <v>0</v>
      </c>
      <c r="L145" s="6">
        <v>7.0259999999999998</v>
      </c>
      <c r="M145" s="6">
        <v>7.0259999999999998</v>
      </c>
      <c r="N145" s="6">
        <v>7.0259999999999998</v>
      </c>
      <c r="O145" s="6">
        <v>7.0259999999999998</v>
      </c>
      <c r="P145" s="6">
        <v>15</v>
      </c>
      <c r="Q145" s="4" t="s">
        <v>26</v>
      </c>
      <c r="R145" s="4">
        <v>0</v>
      </c>
      <c r="S145" s="6">
        <v>0</v>
      </c>
      <c r="T145" s="6">
        <v>39</v>
      </c>
      <c r="U145" s="6">
        <v>80</v>
      </c>
      <c r="V145" s="6">
        <f>IF(ISERROR(VLOOKUP($S$145,'TAR FIN'!$A$1:$O$85,15,0)),0,VLOOKUP($S$145,'TAR FIN'!$A$1:$O$85,15,0))</f>
        <v>0</v>
      </c>
      <c r="W145" s="6">
        <f>IF(ISERROR(VLOOKUP($T$145,'TAR FIN'!$A$1:$O$85,15,0)),0,VLOOKUP($T$145,'TAR FIN'!$A$1:$O$85,15,0))</f>
        <v>222.38</v>
      </c>
      <c r="X145" s="6">
        <f>IF(ISERROR(VLOOKUP($U$145,'TAR FIN'!$A$1:$O$85,15,0)),0,VLOOKUP($U$145,'TAR FIN'!$A$1:$O$85,15,0))</f>
        <v>241.37</v>
      </c>
      <c r="Y145" s="6"/>
      <c r="Z145" s="6">
        <f ca="1">('TUSD BE'!$AM$48+'TUSD BF'!$AM$48+'TUSD CVA'!$AM$48)*1</f>
        <v>279.53272487868679</v>
      </c>
      <c r="AA145" s="6">
        <f>('TE BE'!$AB$38+'TE BF'!$AB$38+'TE CVA'!$AB$38)*1</f>
        <v>239.91115615602757</v>
      </c>
      <c r="AB145" s="6">
        <f>$K$145*$V$145</f>
        <v>0</v>
      </c>
      <c r="AC145" s="6">
        <f>$M$145*$W$145</f>
        <v>1562.4418799999999</v>
      </c>
      <c r="AD145" s="6">
        <f>$O$145*$X$145</f>
        <v>1695.86562</v>
      </c>
      <c r="AE145" s="6">
        <f>$K$145*$Y$145</f>
        <v>0</v>
      </c>
      <c r="AF145" s="6">
        <f ca="1">$M$145*$Z$145</f>
        <v>1963.9969249976534</v>
      </c>
      <c r="AG145" s="6">
        <f>$O$145*$AA$145</f>
        <v>1685.6157831522496</v>
      </c>
    </row>
    <row r="146" spans="1:33" ht="11.25" customHeight="1" x14ac:dyDescent="0.25">
      <c r="A146" s="4" t="s">
        <v>21</v>
      </c>
      <c r="B146" s="4" t="s">
        <v>31</v>
      </c>
      <c r="C146" s="4" t="s">
        <v>23</v>
      </c>
      <c r="D146" s="4" t="s">
        <v>41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44743</v>
      </c>
      <c r="J146" s="6">
        <v>0</v>
      </c>
      <c r="K146" s="6">
        <v>0</v>
      </c>
      <c r="L146" s="6">
        <v>7.2480000000000002</v>
      </c>
      <c r="M146" s="6">
        <v>7.2480000000000002</v>
      </c>
      <c r="N146" s="6">
        <v>7.2480000000000002</v>
      </c>
      <c r="O146" s="6">
        <v>7.2480000000000002</v>
      </c>
      <c r="P146" s="6">
        <v>15</v>
      </c>
      <c r="Q146" s="4" t="s">
        <v>26</v>
      </c>
      <c r="R146" s="4">
        <v>0</v>
      </c>
      <c r="S146" s="6">
        <v>0</v>
      </c>
      <c r="T146" s="6">
        <v>39</v>
      </c>
      <c r="U146" s="6">
        <v>80</v>
      </c>
      <c r="V146" s="6">
        <f>IF(ISERROR(VLOOKUP($S$146,'TAR FIN'!$A$1:$O$85,15,0)),0,VLOOKUP($S$146,'TAR FIN'!$A$1:$O$85,15,0))</f>
        <v>0</v>
      </c>
      <c r="W146" s="6">
        <f>IF(ISERROR(VLOOKUP($T$146,'TAR FIN'!$A$1:$O$85,15,0)),0,VLOOKUP($T$146,'TAR FIN'!$A$1:$O$85,15,0))</f>
        <v>222.38</v>
      </c>
      <c r="X146" s="6">
        <f>IF(ISERROR(VLOOKUP($U$146,'TAR FIN'!$A$1:$O$85,15,0)),0,VLOOKUP($U$146,'TAR FIN'!$A$1:$O$85,15,0))</f>
        <v>241.37</v>
      </c>
      <c r="Y146" s="6"/>
      <c r="Z146" s="6">
        <f ca="1">('TUSD BE'!$AM$48+'TUSD BF'!$AM$48+'TUSD CVA'!$AM$48)*1</f>
        <v>279.53272487868679</v>
      </c>
      <c r="AA146" s="6">
        <f>('TE BE'!$AB$38+'TE BF'!$AB$38+'TE CVA'!$AB$38)*1</f>
        <v>239.91115615602757</v>
      </c>
      <c r="AB146" s="6">
        <f>$K$146*$V$146</f>
        <v>0</v>
      </c>
      <c r="AC146" s="6">
        <f>$M$146*$W$146</f>
        <v>1611.81024</v>
      </c>
      <c r="AD146" s="6">
        <f>$O$146*$X$146</f>
        <v>1749.4497600000002</v>
      </c>
      <c r="AE146" s="6">
        <f>$K$146*$Y$146</f>
        <v>0</v>
      </c>
      <c r="AF146" s="6">
        <f ca="1">$M$146*$Z$146</f>
        <v>2026.0531899207219</v>
      </c>
      <c r="AG146" s="6">
        <f>$O$146*$AA$146</f>
        <v>1738.8760598188878</v>
      </c>
    </row>
    <row r="147" spans="1:33" ht="11.25" customHeight="1" x14ac:dyDescent="0.25">
      <c r="A147" s="4" t="s">
        <v>21</v>
      </c>
      <c r="B147" s="4" t="s">
        <v>31</v>
      </c>
      <c r="C147" s="4" t="s">
        <v>23</v>
      </c>
      <c r="D147" s="4" t="s">
        <v>41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44774</v>
      </c>
      <c r="J147" s="6">
        <v>0</v>
      </c>
      <c r="K147" s="6">
        <v>0</v>
      </c>
      <c r="L147" s="6">
        <v>7.9889999999999999</v>
      </c>
      <c r="M147" s="6">
        <v>7.9889999999999999</v>
      </c>
      <c r="N147" s="6">
        <v>7.9889999999999999</v>
      </c>
      <c r="O147" s="6">
        <v>7.9889999999999999</v>
      </c>
      <c r="P147" s="6">
        <v>15</v>
      </c>
      <c r="Q147" s="4" t="s">
        <v>26</v>
      </c>
      <c r="R147" s="4">
        <v>0</v>
      </c>
      <c r="S147" s="6">
        <v>0</v>
      </c>
      <c r="T147" s="6">
        <v>39</v>
      </c>
      <c r="U147" s="6">
        <v>80</v>
      </c>
      <c r="V147" s="6">
        <f>IF(ISERROR(VLOOKUP($S$147,'TAR FIN'!$A$1:$O$85,15,0)),0,VLOOKUP($S$147,'TAR FIN'!$A$1:$O$85,15,0))</f>
        <v>0</v>
      </c>
      <c r="W147" s="6">
        <f>IF(ISERROR(VLOOKUP($T$147,'TAR FIN'!$A$1:$O$85,15,0)),0,VLOOKUP($T$147,'TAR FIN'!$A$1:$O$85,15,0))</f>
        <v>222.38</v>
      </c>
      <c r="X147" s="6">
        <f>IF(ISERROR(VLOOKUP($U$147,'TAR FIN'!$A$1:$O$85,15,0)),0,VLOOKUP($U$147,'TAR FIN'!$A$1:$O$85,15,0))</f>
        <v>241.37</v>
      </c>
      <c r="Y147" s="6"/>
      <c r="Z147" s="6">
        <f ca="1">('TUSD BE'!$AM$48+'TUSD BF'!$AM$48+'TUSD CVA'!$AM$48)*1</f>
        <v>279.53272487868679</v>
      </c>
      <c r="AA147" s="6">
        <f>('TE BE'!$AB$38+'TE BF'!$AB$38+'TE CVA'!$AB$38)*1</f>
        <v>239.91115615602757</v>
      </c>
      <c r="AB147" s="6">
        <f>$K$147*$V$147</f>
        <v>0</v>
      </c>
      <c r="AC147" s="6">
        <f>$M$147*$W$147</f>
        <v>1776.5938199999998</v>
      </c>
      <c r="AD147" s="6">
        <f>$O$147*$X$147</f>
        <v>1928.30493</v>
      </c>
      <c r="AE147" s="6">
        <f>$K$147*$Y$147</f>
        <v>0</v>
      </c>
      <c r="AF147" s="6">
        <f ca="1">$M$147*$Z$147</f>
        <v>2233.1869390558286</v>
      </c>
      <c r="AG147" s="6">
        <f>$O$147*$AA$147</f>
        <v>1916.6502265305041</v>
      </c>
    </row>
    <row r="148" spans="1:33" ht="11.25" customHeight="1" x14ac:dyDescent="0.25">
      <c r="A148" s="4" t="s">
        <v>21</v>
      </c>
      <c r="B148" s="4" t="s">
        <v>31</v>
      </c>
      <c r="C148" s="4" t="s">
        <v>23</v>
      </c>
      <c r="D148" s="4" t="s">
        <v>45</v>
      </c>
      <c r="E148" s="4" t="s">
        <v>46</v>
      </c>
      <c r="F148" s="4" t="s">
        <v>25</v>
      </c>
      <c r="G148" s="4" t="s">
        <v>25</v>
      </c>
      <c r="H148" s="4" t="s">
        <v>25</v>
      </c>
      <c r="I148" s="5">
        <v>44440</v>
      </c>
      <c r="J148" s="6">
        <v>0</v>
      </c>
      <c r="K148" s="52">
        <v>0</v>
      </c>
      <c r="L148" s="6">
        <v>1.109</v>
      </c>
      <c r="M148" s="52">
        <v>1.109</v>
      </c>
      <c r="N148" s="6">
        <v>1.109</v>
      </c>
      <c r="O148" s="52">
        <v>1.109</v>
      </c>
      <c r="P148" s="6">
        <v>2</v>
      </c>
      <c r="Q148" s="4" t="s">
        <v>26</v>
      </c>
      <c r="R148" s="4">
        <v>0</v>
      </c>
      <c r="S148" s="6">
        <v>0</v>
      </c>
      <c r="T148" s="6">
        <v>39</v>
      </c>
      <c r="U148" s="6">
        <v>80</v>
      </c>
      <c r="V148" s="52">
        <f>IF(ISERROR(VLOOKUP($S$148,'TAR FIN'!$A$1:$O$85,15,0)),0,VLOOKUP($S$148,'TAR FIN'!$A$1:$O$85,15,0))</f>
        <v>0</v>
      </c>
      <c r="W148" s="52">
        <f>IF(ISERROR(VLOOKUP($T$148,'TAR FIN'!$A$1:$O$85,15,0)),0,VLOOKUP($T$148,'TAR FIN'!$A$1:$O$85,15,0))*(1-0.06)</f>
        <v>209.03719999999998</v>
      </c>
      <c r="X148" s="52">
        <f>IF(ISERROR(VLOOKUP($U$148,'TAR FIN'!$A$1:$O$85,15,0)),0,VLOOKUP($U$148,'TAR FIN'!$A$1:$O$85,15,0))*(1-0.06)</f>
        <v>226.8878</v>
      </c>
      <c r="Y148" s="52"/>
      <c r="Z148" s="52">
        <f ca="1">('TUSD BE'!$AM$48+'TUSD BF'!$AM$48+'TUSD CVA'!$AM$48)*1*(1-0.03)</f>
        <v>271.14674313232621</v>
      </c>
      <c r="AA148" s="52">
        <f>('TE BE'!$AB$38+'TE BF'!$AB$38+'TE CVA'!$AB$38)*1*(1-0.03)</f>
        <v>232.71382147134673</v>
      </c>
      <c r="AB148" s="6">
        <f>$K$148*$V$148</f>
        <v>0</v>
      </c>
      <c r="AC148" s="6">
        <f>$M$148*$W$148</f>
        <v>231.82225479999997</v>
      </c>
      <c r="AD148" s="6">
        <f>$O$148*$X$148</f>
        <v>251.61857019999999</v>
      </c>
      <c r="AE148" s="6">
        <f>$K$148*$Y$148</f>
        <v>0</v>
      </c>
      <c r="AF148" s="6">
        <f ca="1">$M$148*$Z$148</f>
        <v>300.70173813374976</v>
      </c>
      <c r="AG148" s="6">
        <f>$O$148*$AA$148</f>
        <v>258.07962801172351</v>
      </c>
    </row>
    <row r="149" spans="1:33" ht="11.25" customHeight="1" x14ac:dyDescent="0.25">
      <c r="A149" s="4" t="s">
        <v>21</v>
      </c>
      <c r="B149" s="4" t="s">
        <v>31</v>
      </c>
      <c r="C149" s="4" t="s">
        <v>23</v>
      </c>
      <c r="D149" s="4" t="s">
        <v>45</v>
      </c>
      <c r="E149" s="4" t="s">
        <v>46</v>
      </c>
      <c r="F149" s="4" t="s">
        <v>25</v>
      </c>
      <c r="G149" s="4" t="s">
        <v>25</v>
      </c>
      <c r="H149" s="4" t="s">
        <v>25</v>
      </c>
      <c r="I149" s="5">
        <v>44470</v>
      </c>
      <c r="J149" s="6">
        <v>0</v>
      </c>
      <c r="K149" s="52">
        <v>0</v>
      </c>
      <c r="L149" s="6">
        <v>1.0189999999999999</v>
      </c>
      <c r="M149" s="52">
        <v>1.0189999999999999</v>
      </c>
      <c r="N149" s="6">
        <v>1.0189999999999999</v>
      </c>
      <c r="O149" s="52">
        <v>1.0189999999999999</v>
      </c>
      <c r="P149" s="6">
        <v>2</v>
      </c>
      <c r="Q149" s="4" t="s">
        <v>26</v>
      </c>
      <c r="R149" s="4">
        <v>0</v>
      </c>
      <c r="S149" s="6">
        <v>0</v>
      </c>
      <c r="T149" s="6">
        <v>39</v>
      </c>
      <c r="U149" s="6">
        <v>80</v>
      </c>
      <c r="V149" s="52">
        <f>IF(ISERROR(VLOOKUP($S$149,'TAR FIN'!$A$1:$O$85,15,0)),0,VLOOKUP($S$149,'TAR FIN'!$A$1:$O$85,15,0))</f>
        <v>0</v>
      </c>
      <c r="W149" s="52">
        <f>IF(ISERROR(VLOOKUP($T$149,'TAR FIN'!$A$1:$O$85,15,0)),0,VLOOKUP($T$149,'TAR FIN'!$A$1:$O$85,15,0))*(1-0.06)</f>
        <v>209.03719999999998</v>
      </c>
      <c r="X149" s="52">
        <f>IF(ISERROR(VLOOKUP($U$149,'TAR FIN'!$A$1:$O$85,15,0)),0,VLOOKUP($U$149,'TAR FIN'!$A$1:$O$85,15,0))*(1-0.06)</f>
        <v>226.8878</v>
      </c>
      <c r="Y149" s="52"/>
      <c r="Z149" s="52">
        <f ca="1">('TUSD BE'!$AM$48+'TUSD BF'!$AM$48+'TUSD CVA'!$AM$48)*1*(1-0.03)</f>
        <v>271.14674313232621</v>
      </c>
      <c r="AA149" s="52">
        <f>('TE BE'!$AB$38+'TE BF'!$AB$38+'TE CVA'!$AB$38)*1*(1-0.03)</f>
        <v>232.71382147134673</v>
      </c>
      <c r="AB149" s="6">
        <f>$K$149*$V$149</f>
        <v>0</v>
      </c>
      <c r="AC149" s="6">
        <f>$M$149*$W$149</f>
        <v>213.00890679999998</v>
      </c>
      <c r="AD149" s="6">
        <f>$O$149*$X$149</f>
        <v>231.19866819999999</v>
      </c>
      <c r="AE149" s="6">
        <f>$K$149*$Y$149</f>
        <v>0</v>
      </c>
      <c r="AF149" s="6">
        <f ca="1">$M$149*$Z$149</f>
        <v>276.29853125184036</v>
      </c>
      <c r="AG149" s="6">
        <f>$O$149*$AA$149</f>
        <v>237.1353840793023</v>
      </c>
    </row>
    <row r="150" spans="1:33" ht="11.25" customHeight="1" x14ac:dyDescent="0.25">
      <c r="A150" s="4" t="s">
        <v>21</v>
      </c>
      <c r="B150" s="4" t="s">
        <v>31</v>
      </c>
      <c r="C150" s="4" t="s">
        <v>23</v>
      </c>
      <c r="D150" s="4" t="s">
        <v>45</v>
      </c>
      <c r="E150" s="4" t="s">
        <v>46</v>
      </c>
      <c r="F150" s="4" t="s">
        <v>25</v>
      </c>
      <c r="G150" s="4" t="s">
        <v>25</v>
      </c>
      <c r="H150" s="4" t="s">
        <v>25</v>
      </c>
      <c r="I150" s="5">
        <v>44501</v>
      </c>
      <c r="J150" s="6">
        <v>0</v>
      </c>
      <c r="K150" s="52">
        <v>0</v>
      </c>
      <c r="L150" s="6">
        <v>1.0860000000000001</v>
      </c>
      <c r="M150" s="52">
        <v>1.0860000000000001</v>
      </c>
      <c r="N150" s="6">
        <v>1.0860000000000001</v>
      </c>
      <c r="O150" s="52">
        <v>1.0860000000000001</v>
      </c>
      <c r="P150" s="6">
        <v>2</v>
      </c>
      <c r="Q150" s="4" t="s">
        <v>26</v>
      </c>
      <c r="R150" s="4">
        <v>0</v>
      </c>
      <c r="S150" s="6">
        <v>0</v>
      </c>
      <c r="T150" s="6">
        <v>39</v>
      </c>
      <c r="U150" s="6">
        <v>80</v>
      </c>
      <c r="V150" s="52">
        <f>IF(ISERROR(VLOOKUP($S$150,'TAR FIN'!$A$1:$O$85,15,0)),0,VLOOKUP($S$150,'TAR FIN'!$A$1:$O$85,15,0))</f>
        <v>0</v>
      </c>
      <c r="W150" s="52">
        <f>IF(ISERROR(VLOOKUP($T$150,'TAR FIN'!$A$1:$O$85,15,0)),0,VLOOKUP($T$150,'TAR FIN'!$A$1:$O$85,15,0))*(1-0.06)</f>
        <v>209.03719999999998</v>
      </c>
      <c r="X150" s="52">
        <f>IF(ISERROR(VLOOKUP($U$150,'TAR FIN'!$A$1:$O$85,15,0)),0,VLOOKUP($U$150,'TAR FIN'!$A$1:$O$85,15,0))*(1-0.06)</f>
        <v>226.8878</v>
      </c>
      <c r="Y150" s="52"/>
      <c r="Z150" s="52">
        <f ca="1">('TUSD BE'!$AM$48+'TUSD BF'!$AM$48+'TUSD CVA'!$AM$48)*1*(1-0.03)</f>
        <v>271.14674313232621</v>
      </c>
      <c r="AA150" s="52">
        <f>('TE BE'!$AB$38+'TE BF'!$AB$38+'TE CVA'!$AB$38)*1*(1-0.03)</f>
        <v>232.71382147134673</v>
      </c>
      <c r="AB150" s="6">
        <f>$K$150*$V$150</f>
        <v>0</v>
      </c>
      <c r="AC150" s="6">
        <f>$M$150*$W$150</f>
        <v>227.01439919999999</v>
      </c>
      <c r="AD150" s="6">
        <f>$O$150*$X$150</f>
        <v>246.40015080000001</v>
      </c>
      <c r="AE150" s="6">
        <f>$K$150*$Y$150</f>
        <v>0</v>
      </c>
      <c r="AF150" s="6">
        <f ca="1">$M$150*$Z$150</f>
        <v>294.46536304170627</v>
      </c>
      <c r="AG150" s="6">
        <f>$O$150*$AA$150</f>
        <v>252.72721011788258</v>
      </c>
    </row>
    <row r="151" spans="1:33" ht="11.25" customHeight="1" x14ac:dyDescent="0.25">
      <c r="A151" s="4" t="s">
        <v>21</v>
      </c>
      <c r="B151" s="4" t="s">
        <v>31</v>
      </c>
      <c r="C151" s="4" t="s">
        <v>23</v>
      </c>
      <c r="D151" s="4" t="s">
        <v>45</v>
      </c>
      <c r="E151" s="4" t="s">
        <v>46</v>
      </c>
      <c r="F151" s="4" t="s">
        <v>25</v>
      </c>
      <c r="G151" s="4" t="s">
        <v>25</v>
      </c>
      <c r="H151" s="4" t="s">
        <v>25</v>
      </c>
      <c r="I151" s="5">
        <v>44531</v>
      </c>
      <c r="J151" s="6">
        <v>0</v>
      </c>
      <c r="K151" s="52">
        <v>0</v>
      </c>
      <c r="L151" s="6">
        <v>1.2649999999999999</v>
      </c>
      <c r="M151" s="52">
        <v>1.2649999999999999</v>
      </c>
      <c r="N151" s="6">
        <v>1.2649999999999999</v>
      </c>
      <c r="O151" s="52">
        <v>1.2649999999999999</v>
      </c>
      <c r="P151" s="6">
        <v>2</v>
      </c>
      <c r="Q151" s="4" t="s">
        <v>26</v>
      </c>
      <c r="R151" s="4">
        <v>0</v>
      </c>
      <c r="S151" s="6">
        <v>0</v>
      </c>
      <c r="T151" s="6">
        <v>39</v>
      </c>
      <c r="U151" s="6">
        <v>80</v>
      </c>
      <c r="V151" s="52">
        <f>IF(ISERROR(VLOOKUP($S$151,'TAR FIN'!$A$1:$O$85,15,0)),0,VLOOKUP($S$151,'TAR FIN'!$A$1:$O$85,15,0))</f>
        <v>0</v>
      </c>
      <c r="W151" s="52">
        <f>IF(ISERROR(VLOOKUP($T$151,'TAR FIN'!$A$1:$O$85,15,0)),0,VLOOKUP($T$151,'TAR FIN'!$A$1:$O$85,15,0))*(1-0.06)</f>
        <v>209.03719999999998</v>
      </c>
      <c r="X151" s="52">
        <f>IF(ISERROR(VLOOKUP($U$151,'TAR FIN'!$A$1:$O$85,15,0)),0,VLOOKUP($U$151,'TAR FIN'!$A$1:$O$85,15,0))*(1-0.06)</f>
        <v>226.8878</v>
      </c>
      <c r="Y151" s="52"/>
      <c r="Z151" s="52">
        <f ca="1">('TUSD BE'!$AM$48+'TUSD BF'!$AM$48+'TUSD CVA'!$AM$48)*1*(1-0.03)</f>
        <v>271.14674313232621</v>
      </c>
      <c r="AA151" s="52">
        <f>('TE BE'!$AB$38+'TE BF'!$AB$38+'TE CVA'!$AB$38)*1*(1-0.03)</f>
        <v>232.71382147134673</v>
      </c>
      <c r="AB151" s="6">
        <f>$K$151*$V$151</f>
        <v>0</v>
      </c>
      <c r="AC151" s="6">
        <f>$M$151*$W$151</f>
        <v>264.43205799999998</v>
      </c>
      <c r="AD151" s="6">
        <f>$O$151*$X$151</f>
        <v>287.01306699999998</v>
      </c>
      <c r="AE151" s="6">
        <f>$K$151*$Y$151</f>
        <v>0</v>
      </c>
      <c r="AF151" s="6">
        <f ca="1">$M$151*$Z$151</f>
        <v>343.00063006239264</v>
      </c>
      <c r="AG151" s="6">
        <f>$O$151*$AA$151</f>
        <v>294.3829841612536</v>
      </c>
    </row>
    <row r="152" spans="1:33" ht="11.25" customHeight="1" x14ac:dyDescent="0.25">
      <c r="A152" s="4" t="s">
        <v>21</v>
      </c>
      <c r="B152" s="4" t="s">
        <v>31</v>
      </c>
      <c r="C152" s="4" t="s">
        <v>23</v>
      </c>
      <c r="D152" s="4" t="s">
        <v>45</v>
      </c>
      <c r="E152" s="4" t="s">
        <v>46</v>
      </c>
      <c r="F152" s="4" t="s">
        <v>25</v>
      </c>
      <c r="G152" s="4" t="s">
        <v>25</v>
      </c>
      <c r="H152" s="4" t="s">
        <v>25</v>
      </c>
      <c r="I152" s="5">
        <v>44562</v>
      </c>
      <c r="J152" s="6">
        <v>0</v>
      </c>
      <c r="K152" s="52">
        <v>0</v>
      </c>
      <c r="L152" s="6">
        <v>1.216</v>
      </c>
      <c r="M152" s="52">
        <v>1.216</v>
      </c>
      <c r="N152" s="6">
        <v>1.216</v>
      </c>
      <c r="O152" s="52">
        <v>1.216</v>
      </c>
      <c r="P152" s="6">
        <v>2</v>
      </c>
      <c r="Q152" s="4" t="s">
        <v>26</v>
      </c>
      <c r="R152" s="4">
        <v>0</v>
      </c>
      <c r="S152" s="6">
        <v>0</v>
      </c>
      <c r="T152" s="6">
        <v>39</v>
      </c>
      <c r="U152" s="6">
        <v>80</v>
      </c>
      <c r="V152" s="52">
        <f>IF(ISERROR(VLOOKUP($S$152,'TAR FIN'!$A$1:$O$85,15,0)),0,VLOOKUP($S$152,'TAR FIN'!$A$1:$O$85,15,0))</f>
        <v>0</v>
      </c>
      <c r="W152" s="52">
        <f>IF(ISERROR(VLOOKUP($T$152,'TAR FIN'!$A$1:$O$85,15,0)),0,VLOOKUP($T$152,'TAR FIN'!$A$1:$O$85,15,0))*(1-0.06)</f>
        <v>209.03719999999998</v>
      </c>
      <c r="X152" s="52">
        <f>IF(ISERROR(VLOOKUP($U$152,'TAR FIN'!$A$1:$O$85,15,0)),0,VLOOKUP($U$152,'TAR FIN'!$A$1:$O$85,15,0))*(1-0.06)</f>
        <v>226.8878</v>
      </c>
      <c r="Y152" s="52"/>
      <c r="Z152" s="52">
        <f ca="1">('TUSD BE'!$AM$48+'TUSD BF'!$AM$48+'TUSD CVA'!$AM$48)*1*(1-0.03)</f>
        <v>271.14674313232621</v>
      </c>
      <c r="AA152" s="52">
        <f>('TE BE'!$AB$38+'TE BF'!$AB$38+'TE CVA'!$AB$38)*1*(1-0.03)</f>
        <v>232.71382147134673</v>
      </c>
      <c r="AB152" s="6">
        <f>$K$152*$V$152</f>
        <v>0</v>
      </c>
      <c r="AC152" s="6">
        <f>$M$152*$W$152</f>
        <v>254.18923519999998</v>
      </c>
      <c r="AD152" s="6">
        <f>$O$152*$X$152</f>
        <v>275.89556479999999</v>
      </c>
      <c r="AE152" s="6">
        <f>$K$152*$Y$152</f>
        <v>0</v>
      </c>
      <c r="AF152" s="6">
        <f ca="1">$M$152*$Z$152</f>
        <v>329.71443964890864</v>
      </c>
      <c r="AG152" s="6">
        <f>$O$152*$AA$152</f>
        <v>282.98000690915762</v>
      </c>
    </row>
    <row r="153" spans="1:33" ht="11.25" customHeight="1" x14ac:dyDescent="0.25">
      <c r="A153" s="4" t="s">
        <v>21</v>
      </c>
      <c r="B153" s="4" t="s">
        <v>31</v>
      </c>
      <c r="C153" s="4" t="s">
        <v>23</v>
      </c>
      <c r="D153" s="4" t="s">
        <v>45</v>
      </c>
      <c r="E153" s="4" t="s">
        <v>46</v>
      </c>
      <c r="F153" s="4" t="s">
        <v>25</v>
      </c>
      <c r="G153" s="4" t="s">
        <v>25</v>
      </c>
      <c r="H153" s="4" t="s">
        <v>25</v>
      </c>
      <c r="I153" s="5">
        <v>44621</v>
      </c>
      <c r="J153" s="6">
        <v>0</v>
      </c>
      <c r="K153" s="52">
        <v>0</v>
      </c>
      <c r="L153" s="6">
        <v>1.1000000000000001</v>
      </c>
      <c r="M153" s="52">
        <v>1.1000000000000001</v>
      </c>
      <c r="N153" s="6">
        <v>1.1000000000000001</v>
      </c>
      <c r="O153" s="52">
        <v>1.1000000000000001</v>
      </c>
      <c r="P153" s="6">
        <v>2</v>
      </c>
      <c r="Q153" s="4" t="s">
        <v>26</v>
      </c>
      <c r="R153" s="4">
        <v>0</v>
      </c>
      <c r="S153" s="6">
        <v>0</v>
      </c>
      <c r="T153" s="6">
        <v>39</v>
      </c>
      <c r="U153" s="6">
        <v>80</v>
      </c>
      <c r="V153" s="52">
        <f>IF(ISERROR(VLOOKUP($S$153,'TAR FIN'!$A$1:$O$85,15,0)),0,VLOOKUP($S$153,'TAR FIN'!$A$1:$O$85,15,0))</f>
        <v>0</v>
      </c>
      <c r="W153" s="52">
        <f>IF(ISERROR(VLOOKUP($T$153,'TAR FIN'!$A$1:$O$85,15,0)),0,VLOOKUP($T$153,'TAR FIN'!$A$1:$O$85,15,0))*(1-0.06)</f>
        <v>209.03719999999998</v>
      </c>
      <c r="X153" s="52">
        <f>IF(ISERROR(VLOOKUP($U$153,'TAR FIN'!$A$1:$O$85,15,0)),0,VLOOKUP($U$153,'TAR FIN'!$A$1:$O$85,15,0))*(1-0.06)</f>
        <v>226.8878</v>
      </c>
      <c r="Y153" s="52"/>
      <c r="Z153" s="52">
        <f ca="1">('TUSD BE'!$AM$48+'TUSD BF'!$AM$48+'TUSD CVA'!$AM$48)*1*(1-0.03)</f>
        <v>271.14674313232621</v>
      </c>
      <c r="AA153" s="52">
        <f>('TE BE'!$AB$38+'TE BF'!$AB$38+'TE CVA'!$AB$38)*1*(1-0.03)</f>
        <v>232.71382147134673</v>
      </c>
      <c r="AB153" s="6">
        <f>$K$153*$V$153</f>
        <v>0</v>
      </c>
      <c r="AC153" s="6">
        <f>$M$153*$W$153</f>
        <v>229.94092000000001</v>
      </c>
      <c r="AD153" s="6">
        <f>$O$153*$X$153</f>
        <v>249.57658000000001</v>
      </c>
      <c r="AE153" s="6">
        <f>$K$153*$Y$153</f>
        <v>0</v>
      </c>
      <c r="AF153" s="6">
        <f ca="1">$M$153*$Z$153</f>
        <v>298.26141744555883</v>
      </c>
      <c r="AG153" s="6">
        <f>$O$153*$AA$153</f>
        <v>255.98520361848142</v>
      </c>
    </row>
    <row r="154" spans="1:33" ht="11.25" customHeight="1" x14ac:dyDescent="0.25">
      <c r="A154" s="4" t="s">
        <v>21</v>
      </c>
      <c r="B154" s="4" t="s">
        <v>31</v>
      </c>
      <c r="C154" s="4" t="s">
        <v>23</v>
      </c>
      <c r="D154" s="4" t="s">
        <v>45</v>
      </c>
      <c r="E154" s="4" t="s">
        <v>46</v>
      </c>
      <c r="F154" s="4" t="s">
        <v>25</v>
      </c>
      <c r="G154" s="4" t="s">
        <v>25</v>
      </c>
      <c r="H154" s="4" t="s">
        <v>25</v>
      </c>
      <c r="I154" s="5">
        <v>44652</v>
      </c>
      <c r="J154" s="6">
        <v>0</v>
      </c>
      <c r="K154" s="52">
        <v>0</v>
      </c>
      <c r="L154" s="6">
        <v>1.2410000000000001</v>
      </c>
      <c r="M154" s="52">
        <v>1.2410000000000001</v>
      </c>
      <c r="N154" s="6">
        <v>1.2410000000000001</v>
      </c>
      <c r="O154" s="52">
        <v>1.2410000000000001</v>
      </c>
      <c r="P154" s="6">
        <v>2</v>
      </c>
      <c r="Q154" s="4" t="s">
        <v>26</v>
      </c>
      <c r="R154" s="4">
        <v>0</v>
      </c>
      <c r="S154" s="6">
        <v>0</v>
      </c>
      <c r="T154" s="6">
        <v>39</v>
      </c>
      <c r="U154" s="6">
        <v>80</v>
      </c>
      <c r="V154" s="52">
        <f>IF(ISERROR(VLOOKUP($S$154,'TAR FIN'!$A$1:$O$85,15,0)),0,VLOOKUP($S$154,'TAR FIN'!$A$1:$O$85,15,0))</f>
        <v>0</v>
      </c>
      <c r="W154" s="52">
        <f>IF(ISERROR(VLOOKUP($T$154,'TAR FIN'!$A$1:$O$85,15,0)),0,VLOOKUP($T$154,'TAR FIN'!$A$1:$O$85,15,0))*(1-0.06)</f>
        <v>209.03719999999998</v>
      </c>
      <c r="X154" s="52">
        <f>IF(ISERROR(VLOOKUP($U$154,'TAR FIN'!$A$1:$O$85,15,0)),0,VLOOKUP($U$154,'TAR FIN'!$A$1:$O$85,15,0))*(1-0.06)</f>
        <v>226.8878</v>
      </c>
      <c r="Y154" s="52"/>
      <c r="Z154" s="52">
        <f ca="1">('TUSD BE'!$AM$48+'TUSD BF'!$AM$48+'TUSD CVA'!$AM$48)*1*(1-0.03)</f>
        <v>271.14674313232621</v>
      </c>
      <c r="AA154" s="52">
        <f>('TE BE'!$AB$38+'TE BF'!$AB$38+'TE CVA'!$AB$38)*1*(1-0.03)</f>
        <v>232.71382147134673</v>
      </c>
      <c r="AB154" s="6">
        <f>$K$154*$V$154</f>
        <v>0</v>
      </c>
      <c r="AC154" s="6">
        <f>$M$154*$W$154</f>
        <v>259.41516519999999</v>
      </c>
      <c r="AD154" s="6">
        <f>$O$154*$X$154</f>
        <v>281.56775980000003</v>
      </c>
      <c r="AE154" s="6">
        <f>$K$154*$Y$154</f>
        <v>0</v>
      </c>
      <c r="AF154" s="6">
        <f ca="1">$M$154*$Z$154</f>
        <v>336.49310822721685</v>
      </c>
      <c r="AG154" s="6">
        <f>$O$154*$AA$154</f>
        <v>288.79785244594132</v>
      </c>
    </row>
    <row r="155" spans="1:33" ht="11.25" customHeight="1" x14ac:dyDescent="0.25">
      <c r="A155" s="4" t="s">
        <v>21</v>
      </c>
      <c r="B155" s="4" t="s">
        <v>31</v>
      </c>
      <c r="C155" s="4" t="s">
        <v>23</v>
      </c>
      <c r="D155" s="4" t="s">
        <v>45</v>
      </c>
      <c r="E155" s="4" t="s">
        <v>46</v>
      </c>
      <c r="F155" s="4" t="s">
        <v>25</v>
      </c>
      <c r="G155" s="4" t="s">
        <v>25</v>
      </c>
      <c r="H155" s="4" t="s">
        <v>25</v>
      </c>
      <c r="I155" s="5">
        <v>44682</v>
      </c>
      <c r="J155" s="6">
        <v>0</v>
      </c>
      <c r="K155" s="52">
        <v>0</v>
      </c>
      <c r="L155" s="6">
        <v>1.1399999999999999</v>
      </c>
      <c r="M155" s="52">
        <v>1.1399999999999999</v>
      </c>
      <c r="N155" s="6">
        <v>1.1399999999999999</v>
      </c>
      <c r="O155" s="52">
        <v>1.1399999999999999</v>
      </c>
      <c r="P155" s="6">
        <v>2</v>
      </c>
      <c r="Q155" s="4" t="s">
        <v>26</v>
      </c>
      <c r="R155" s="4">
        <v>0</v>
      </c>
      <c r="S155" s="6">
        <v>0</v>
      </c>
      <c r="T155" s="6">
        <v>39</v>
      </c>
      <c r="U155" s="6">
        <v>80</v>
      </c>
      <c r="V155" s="52">
        <f>IF(ISERROR(VLOOKUP($S$155,'TAR FIN'!$A$1:$O$85,15,0)),0,VLOOKUP($S$155,'TAR FIN'!$A$1:$O$85,15,0))</f>
        <v>0</v>
      </c>
      <c r="W155" s="52">
        <f>IF(ISERROR(VLOOKUP($T$155,'TAR FIN'!$A$1:$O$85,15,0)),0,VLOOKUP($T$155,'TAR FIN'!$A$1:$O$85,15,0))*(1-0.06)</f>
        <v>209.03719999999998</v>
      </c>
      <c r="X155" s="52">
        <f>IF(ISERROR(VLOOKUP($U$155,'TAR FIN'!$A$1:$O$85,15,0)),0,VLOOKUP($U$155,'TAR FIN'!$A$1:$O$85,15,0))*(1-0.06)</f>
        <v>226.8878</v>
      </c>
      <c r="Y155" s="52"/>
      <c r="Z155" s="52">
        <f ca="1">('TUSD BE'!$AM$48+'TUSD BF'!$AM$48+'TUSD CVA'!$AM$48)*1*(1-0.03)</f>
        <v>271.14674313232621</v>
      </c>
      <c r="AA155" s="52">
        <f>('TE BE'!$AB$38+'TE BF'!$AB$38+'TE CVA'!$AB$38)*1*(1-0.03)</f>
        <v>232.71382147134673</v>
      </c>
      <c r="AB155" s="6">
        <f>$K$155*$V$155</f>
        <v>0</v>
      </c>
      <c r="AC155" s="6">
        <f>$M$155*$W$155</f>
        <v>238.30240799999996</v>
      </c>
      <c r="AD155" s="6">
        <f>$O$155*$X$155</f>
        <v>258.65209199999998</v>
      </c>
      <c r="AE155" s="6">
        <f>$K$155*$Y$155</f>
        <v>0</v>
      </c>
      <c r="AF155" s="6">
        <f ca="1">$M$155*$Z$155</f>
        <v>309.10728717085186</v>
      </c>
      <c r="AG155" s="6">
        <f>$O$155*$AA$155</f>
        <v>265.29375647733525</v>
      </c>
    </row>
    <row r="156" spans="1:33" ht="11.25" customHeight="1" x14ac:dyDescent="0.25">
      <c r="A156" s="4" t="s">
        <v>21</v>
      </c>
      <c r="B156" s="4" t="s">
        <v>31</v>
      </c>
      <c r="C156" s="4" t="s">
        <v>23</v>
      </c>
      <c r="D156" s="4" t="s">
        <v>45</v>
      </c>
      <c r="E156" s="4" t="s">
        <v>46</v>
      </c>
      <c r="F156" s="4" t="s">
        <v>25</v>
      </c>
      <c r="G156" s="4" t="s">
        <v>25</v>
      </c>
      <c r="H156" s="4" t="s">
        <v>25</v>
      </c>
      <c r="I156" s="5">
        <v>44713</v>
      </c>
      <c r="J156" s="6">
        <v>0</v>
      </c>
      <c r="K156" s="52">
        <v>0</v>
      </c>
      <c r="L156" s="6">
        <v>1.264</v>
      </c>
      <c r="M156" s="52">
        <v>1.264</v>
      </c>
      <c r="N156" s="6">
        <v>1.264</v>
      </c>
      <c r="O156" s="52">
        <v>1.264</v>
      </c>
      <c r="P156" s="6">
        <v>2</v>
      </c>
      <c r="Q156" s="4" t="s">
        <v>26</v>
      </c>
      <c r="R156" s="4">
        <v>0</v>
      </c>
      <c r="S156" s="6">
        <v>0</v>
      </c>
      <c r="T156" s="6">
        <v>39</v>
      </c>
      <c r="U156" s="6">
        <v>80</v>
      </c>
      <c r="V156" s="52">
        <f>IF(ISERROR(VLOOKUP($S$156,'TAR FIN'!$A$1:$O$85,15,0)),0,VLOOKUP($S$156,'TAR FIN'!$A$1:$O$85,15,0))</f>
        <v>0</v>
      </c>
      <c r="W156" s="52">
        <f>IF(ISERROR(VLOOKUP($T$156,'TAR FIN'!$A$1:$O$85,15,0)),0,VLOOKUP($T$156,'TAR FIN'!$A$1:$O$85,15,0))*(1-0.06)</f>
        <v>209.03719999999998</v>
      </c>
      <c r="X156" s="52">
        <f>IF(ISERROR(VLOOKUP($U$156,'TAR FIN'!$A$1:$O$85,15,0)),0,VLOOKUP($U$156,'TAR FIN'!$A$1:$O$85,15,0))*(1-0.06)</f>
        <v>226.8878</v>
      </c>
      <c r="Y156" s="52"/>
      <c r="Z156" s="52">
        <f ca="1">('TUSD BE'!$AM$48+'TUSD BF'!$AM$48+'TUSD CVA'!$AM$48)*1*(1-0.03)</f>
        <v>271.14674313232621</v>
      </c>
      <c r="AA156" s="52">
        <f>('TE BE'!$AB$38+'TE BF'!$AB$38+'TE CVA'!$AB$38)*1*(1-0.03)</f>
        <v>232.71382147134673</v>
      </c>
      <c r="AB156" s="6">
        <f>$K$156*$V$156</f>
        <v>0</v>
      </c>
      <c r="AC156" s="6">
        <f>$M$156*$W$156</f>
        <v>264.22302079999997</v>
      </c>
      <c r="AD156" s="6">
        <f>$O$156*$X$156</f>
        <v>286.78617919999999</v>
      </c>
      <c r="AE156" s="6">
        <f>$K$156*$Y$156</f>
        <v>0</v>
      </c>
      <c r="AF156" s="6">
        <f ca="1">$M$156*$Z$156</f>
        <v>342.72948331926034</v>
      </c>
      <c r="AG156" s="6">
        <f>$O$156*$AA$156</f>
        <v>294.15027033978225</v>
      </c>
    </row>
    <row r="157" spans="1:33" ht="11.25" customHeight="1" x14ac:dyDescent="0.25">
      <c r="A157" s="4" t="s">
        <v>21</v>
      </c>
      <c r="B157" s="4" t="s">
        <v>31</v>
      </c>
      <c r="C157" s="4" t="s">
        <v>23</v>
      </c>
      <c r="D157" s="4" t="s">
        <v>45</v>
      </c>
      <c r="E157" s="4" t="s">
        <v>46</v>
      </c>
      <c r="F157" s="4" t="s">
        <v>25</v>
      </c>
      <c r="G157" s="4" t="s">
        <v>25</v>
      </c>
      <c r="H157" s="4" t="s">
        <v>25</v>
      </c>
      <c r="I157" s="5">
        <v>44743</v>
      </c>
      <c r="J157" s="6">
        <v>0</v>
      </c>
      <c r="K157" s="52">
        <v>0</v>
      </c>
      <c r="L157" s="6">
        <v>1.173</v>
      </c>
      <c r="M157" s="52">
        <v>1.173</v>
      </c>
      <c r="N157" s="6">
        <v>1.173</v>
      </c>
      <c r="O157" s="52">
        <v>1.173</v>
      </c>
      <c r="P157" s="6">
        <v>2</v>
      </c>
      <c r="Q157" s="4" t="s">
        <v>26</v>
      </c>
      <c r="R157" s="4">
        <v>0</v>
      </c>
      <c r="S157" s="6">
        <v>0</v>
      </c>
      <c r="T157" s="6">
        <v>39</v>
      </c>
      <c r="U157" s="6">
        <v>80</v>
      </c>
      <c r="V157" s="52">
        <f>IF(ISERROR(VLOOKUP($S$157,'TAR FIN'!$A$1:$O$85,15,0)),0,VLOOKUP($S$157,'TAR FIN'!$A$1:$O$85,15,0))</f>
        <v>0</v>
      </c>
      <c r="W157" s="52">
        <f>IF(ISERROR(VLOOKUP($T$157,'TAR FIN'!$A$1:$O$85,15,0)),0,VLOOKUP($T$157,'TAR FIN'!$A$1:$O$85,15,0))*(1-0.06)</f>
        <v>209.03719999999998</v>
      </c>
      <c r="X157" s="52">
        <f>IF(ISERROR(VLOOKUP($U$157,'TAR FIN'!$A$1:$O$85,15,0)),0,VLOOKUP($U$157,'TAR FIN'!$A$1:$O$85,15,0))*(1-0.06)</f>
        <v>226.8878</v>
      </c>
      <c r="Y157" s="52"/>
      <c r="Z157" s="52">
        <f ca="1">('TUSD BE'!$AM$48+'TUSD BF'!$AM$48+'TUSD CVA'!$AM$48)*1*(1-0.03)</f>
        <v>271.14674313232621</v>
      </c>
      <c r="AA157" s="52">
        <f>('TE BE'!$AB$38+'TE BF'!$AB$38+'TE CVA'!$AB$38)*1*(1-0.03)</f>
        <v>232.71382147134673</v>
      </c>
      <c r="AB157" s="6">
        <f>$K$157*$V$157</f>
        <v>0</v>
      </c>
      <c r="AC157" s="6">
        <f>$M$157*$W$157</f>
        <v>245.2006356</v>
      </c>
      <c r="AD157" s="6">
        <f>$O$157*$X$157</f>
        <v>266.13938940000003</v>
      </c>
      <c r="AE157" s="6">
        <f>$K$157*$Y$157</f>
        <v>0</v>
      </c>
      <c r="AF157" s="6">
        <f ca="1">$M$157*$Z$157</f>
        <v>318.05512969421864</v>
      </c>
      <c r="AG157" s="6">
        <f>$O$157*$AA$157</f>
        <v>272.97331258588974</v>
      </c>
    </row>
    <row r="158" spans="1:33" ht="11.25" customHeight="1" x14ac:dyDescent="0.25">
      <c r="A158" s="4" t="s">
        <v>21</v>
      </c>
      <c r="B158" s="4" t="s">
        <v>31</v>
      </c>
      <c r="C158" s="4" t="s">
        <v>23</v>
      </c>
      <c r="D158" s="4" t="s">
        <v>45</v>
      </c>
      <c r="E158" s="4" t="s">
        <v>46</v>
      </c>
      <c r="F158" s="4" t="s">
        <v>25</v>
      </c>
      <c r="G158" s="4" t="s">
        <v>25</v>
      </c>
      <c r="H158" s="4" t="s">
        <v>25</v>
      </c>
      <c r="I158" s="5">
        <v>44774</v>
      </c>
      <c r="J158" s="6">
        <v>0</v>
      </c>
      <c r="K158" s="52">
        <v>0</v>
      </c>
      <c r="L158" s="6">
        <v>1.19</v>
      </c>
      <c r="M158" s="52">
        <v>1.19</v>
      </c>
      <c r="N158" s="6">
        <v>1.19</v>
      </c>
      <c r="O158" s="52">
        <v>1.19</v>
      </c>
      <c r="P158" s="6">
        <v>2</v>
      </c>
      <c r="Q158" s="4" t="s">
        <v>26</v>
      </c>
      <c r="R158" s="4">
        <v>0</v>
      </c>
      <c r="S158" s="6">
        <v>0</v>
      </c>
      <c r="T158" s="6">
        <v>39</v>
      </c>
      <c r="U158" s="6">
        <v>80</v>
      </c>
      <c r="V158" s="52">
        <f>IF(ISERROR(VLOOKUP($S$158,'TAR FIN'!$A$1:$O$85,15,0)),0,VLOOKUP($S$158,'TAR FIN'!$A$1:$O$85,15,0))</f>
        <v>0</v>
      </c>
      <c r="W158" s="52">
        <f>IF(ISERROR(VLOOKUP($T$158,'TAR FIN'!$A$1:$O$85,15,0)),0,VLOOKUP($T$158,'TAR FIN'!$A$1:$O$85,15,0))*(1-0.06)</f>
        <v>209.03719999999998</v>
      </c>
      <c r="X158" s="52">
        <f>IF(ISERROR(VLOOKUP($U$158,'TAR FIN'!$A$1:$O$85,15,0)),0,VLOOKUP($U$158,'TAR FIN'!$A$1:$O$85,15,0))*(1-0.06)</f>
        <v>226.8878</v>
      </c>
      <c r="Y158" s="52"/>
      <c r="Z158" s="52">
        <f ca="1">('TUSD BE'!$AM$48+'TUSD BF'!$AM$48+'TUSD CVA'!$AM$48)*1*(1-0.03)</f>
        <v>271.14674313232621</v>
      </c>
      <c r="AA158" s="52">
        <f>('TE BE'!$AB$38+'TE BF'!$AB$38+'TE CVA'!$AB$38)*1*(1-0.03)</f>
        <v>232.71382147134673</v>
      </c>
      <c r="AB158" s="6">
        <f>$K$158*$V$158</f>
        <v>0</v>
      </c>
      <c r="AC158" s="6">
        <f>$M$158*$W$158</f>
        <v>248.75426799999997</v>
      </c>
      <c r="AD158" s="6">
        <f>$O$158*$X$158</f>
        <v>269.99648200000001</v>
      </c>
      <c r="AE158" s="6">
        <f>$K$158*$Y$158</f>
        <v>0</v>
      </c>
      <c r="AF158" s="6">
        <f ca="1">$M$158*$Z$158</f>
        <v>322.66462432746818</v>
      </c>
      <c r="AG158" s="6">
        <f>$O$158*$AA$158</f>
        <v>276.92944755090258</v>
      </c>
    </row>
    <row r="159" spans="1:33" ht="11.25" customHeight="1" x14ac:dyDescent="0.25">
      <c r="A159" s="4" t="s">
        <v>21</v>
      </c>
      <c r="B159" s="4" t="s">
        <v>42</v>
      </c>
      <c r="C159" s="4" t="s">
        <v>23</v>
      </c>
      <c r="D159" s="4" t="s">
        <v>43</v>
      </c>
      <c r="E159" s="4" t="s">
        <v>44</v>
      </c>
      <c r="F159" s="4" t="s">
        <v>25</v>
      </c>
      <c r="G159" s="4" t="s">
        <v>25</v>
      </c>
      <c r="H159" s="4" t="s">
        <v>25</v>
      </c>
      <c r="I159" s="5">
        <v>44440</v>
      </c>
      <c r="J159" s="6">
        <v>0</v>
      </c>
      <c r="K159" s="6">
        <v>0</v>
      </c>
      <c r="L159" s="6">
        <v>45.606999999999999</v>
      </c>
      <c r="M159" s="6">
        <v>45.606999999999999</v>
      </c>
      <c r="N159" s="6">
        <v>45.606999999999999</v>
      </c>
      <c r="O159" s="6">
        <v>45.606999999999999</v>
      </c>
      <c r="P159" s="6">
        <v>3</v>
      </c>
      <c r="Q159" s="4" t="s">
        <v>26</v>
      </c>
      <c r="R159" s="4">
        <v>0</v>
      </c>
      <c r="S159" s="6">
        <v>0</v>
      </c>
      <c r="T159" s="6">
        <v>50</v>
      </c>
      <c r="U159" s="6">
        <v>82</v>
      </c>
      <c r="V159" s="6">
        <f>IF(ISERROR(VLOOKUP($S$159,'TAR FIN'!$A$1:$O$85,15,0)),0,VLOOKUP($S$159,'TAR FIN'!$A$1:$O$85,15,0))</f>
        <v>0</v>
      </c>
      <c r="W159" s="6">
        <f>IF(ISERROR(VLOOKUP($T$159,'TAR FIN'!$A$1:$O$85,15,0)),0,VLOOKUP($T$159,'TAR FIN'!$A$1:$O$85,15,0))</f>
        <v>133.43</v>
      </c>
      <c r="X159" s="6">
        <f>IF(ISERROR(VLOOKUP($U$159,'TAR FIN'!$A$1:$O$85,15,0)),0,VLOOKUP($U$159,'TAR FIN'!$A$1:$O$85,15,0))</f>
        <v>144.82</v>
      </c>
      <c r="Y159" s="6"/>
      <c r="Z159" s="6">
        <f ca="1">('TUSD BE'!$AM$51+'TUSD BF'!$AM$51+'TUSD CVA'!$AM$51)*1</f>
        <v>167.71963492721207</v>
      </c>
      <c r="AA159" s="6">
        <f>('TE BE'!$AB$41+'TE BF'!$AB$41+'TE CVA'!$AB$41)*1</f>
        <v>143.94669369361654</v>
      </c>
      <c r="AB159" s="6">
        <f>$K$159*$V$159</f>
        <v>0</v>
      </c>
      <c r="AC159" s="6">
        <f>$M$159*$W$159</f>
        <v>6085.3420100000003</v>
      </c>
      <c r="AD159" s="6">
        <f>$O$159*$X$159</f>
        <v>6604.8057399999998</v>
      </c>
      <c r="AE159" s="6">
        <f>$K$159*$Y$159</f>
        <v>0</v>
      </c>
      <c r="AF159" s="6">
        <f ca="1">$M$159*$Z$159</f>
        <v>7649.1893901253607</v>
      </c>
      <c r="AG159" s="6">
        <f>$O$159*$AA$159</f>
        <v>6564.9768592847695</v>
      </c>
    </row>
    <row r="160" spans="1:33" ht="11.25" customHeight="1" x14ac:dyDescent="0.25">
      <c r="A160" s="4" t="s">
        <v>21</v>
      </c>
      <c r="B160" s="4" t="s">
        <v>42</v>
      </c>
      <c r="C160" s="4" t="s">
        <v>23</v>
      </c>
      <c r="D160" s="4" t="s">
        <v>43</v>
      </c>
      <c r="E160" s="4" t="s">
        <v>44</v>
      </c>
      <c r="F160" s="4" t="s">
        <v>25</v>
      </c>
      <c r="G160" s="4" t="s">
        <v>25</v>
      </c>
      <c r="H160" s="4" t="s">
        <v>25</v>
      </c>
      <c r="I160" s="5">
        <v>44470</v>
      </c>
      <c r="J160" s="6">
        <v>0</v>
      </c>
      <c r="K160" s="6">
        <v>0</v>
      </c>
      <c r="L160" s="6">
        <v>45.606999999999999</v>
      </c>
      <c r="M160" s="6">
        <v>45.606999999999999</v>
      </c>
      <c r="N160" s="6">
        <v>45.606999999999999</v>
      </c>
      <c r="O160" s="6">
        <v>45.606999999999999</v>
      </c>
      <c r="P160" s="6">
        <v>3</v>
      </c>
      <c r="Q160" s="4" t="s">
        <v>26</v>
      </c>
      <c r="R160" s="4">
        <v>0</v>
      </c>
      <c r="S160" s="6">
        <v>0</v>
      </c>
      <c r="T160" s="6">
        <v>50</v>
      </c>
      <c r="U160" s="6">
        <v>82</v>
      </c>
      <c r="V160" s="6">
        <f>IF(ISERROR(VLOOKUP($S$160,'TAR FIN'!$A$1:$O$85,15,0)),0,VLOOKUP($S$160,'TAR FIN'!$A$1:$O$85,15,0))</f>
        <v>0</v>
      </c>
      <c r="W160" s="6">
        <f>IF(ISERROR(VLOOKUP($T$160,'TAR FIN'!$A$1:$O$85,15,0)),0,VLOOKUP($T$160,'TAR FIN'!$A$1:$O$85,15,0))</f>
        <v>133.43</v>
      </c>
      <c r="X160" s="6">
        <f>IF(ISERROR(VLOOKUP($U$160,'TAR FIN'!$A$1:$O$85,15,0)),0,VLOOKUP($U$160,'TAR FIN'!$A$1:$O$85,15,0))</f>
        <v>144.82</v>
      </c>
      <c r="Y160" s="6"/>
      <c r="Z160" s="6">
        <f ca="1">('TUSD BE'!$AM$51+'TUSD BF'!$AM$51+'TUSD CVA'!$AM$51)*1</f>
        <v>167.71963492721207</v>
      </c>
      <c r="AA160" s="6">
        <f>('TE BE'!$AB$41+'TE BF'!$AB$41+'TE CVA'!$AB$41)*1</f>
        <v>143.94669369361654</v>
      </c>
      <c r="AB160" s="6">
        <f>$K$160*$V$160</f>
        <v>0</v>
      </c>
      <c r="AC160" s="6">
        <f>$M$160*$W$160</f>
        <v>6085.3420100000003</v>
      </c>
      <c r="AD160" s="6">
        <f>$O$160*$X$160</f>
        <v>6604.8057399999998</v>
      </c>
      <c r="AE160" s="6">
        <f>$K$160*$Y$160</f>
        <v>0</v>
      </c>
      <c r="AF160" s="6">
        <f ca="1">$M$160*$Z$160</f>
        <v>7649.1893901253607</v>
      </c>
      <c r="AG160" s="6">
        <f>$O$160*$AA$160</f>
        <v>6564.9768592847695</v>
      </c>
    </row>
    <row r="161" spans="1:33" ht="11.25" customHeight="1" x14ac:dyDescent="0.25">
      <c r="A161" s="4" t="s">
        <v>21</v>
      </c>
      <c r="B161" s="4" t="s">
        <v>42</v>
      </c>
      <c r="C161" s="4" t="s">
        <v>23</v>
      </c>
      <c r="D161" s="4" t="s">
        <v>43</v>
      </c>
      <c r="E161" s="4" t="s">
        <v>44</v>
      </c>
      <c r="F161" s="4" t="s">
        <v>25</v>
      </c>
      <c r="G161" s="4" t="s">
        <v>25</v>
      </c>
      <c r="H161" s="4" t="s">
        <v>25</v>
      </c>
      <c r="I161" s="5">
        <v>44501</v>
      </c>
      <c r="J161" s="6">
        <v>0</v>
      </c>
      <c r="K161" s="6">
        <v>0</v>
      </c>
      <c r="L161" s="6">
        <v>45.606999999999999</v>
      </c>
      <c r="M161" s="6">
        <v>45.606999999999999</v>
      </c>
      <c r="N161" s="6">
        <v>45.606999999999999</v>
      </c>
      <c r="O161" s="6">
        <v>45.606999999999999</v>
      </c>
      <c r="P161" s="6">
        <v>3</v>
      </c>
      <c r="Q161" s="4" t="s">
        <v>26</v>
      </c>
      <c r="R161" s="4">
        <v>0</v>
      </c>
      <c r="S161" s="6">
        <v>0</v>
      </c>
      <c r="T161" s="6">
        <v>50</v>
      </c>
      <c r="U161" s="6">
        <v>82</v>
      </c>
      <c r="V161" s="6">
        <f>IF(ISERROR(VLOOKUP($S$161,'TAR FIN'!$A$1:$O$85,15,0)),0,VLOOKUP($S$161,'TAR FIN'!$A$1:$O$85,15,0))</f>
        <v>0</v>
      </c>
      <c r="W161" s="6">
        <f>IF(ISERROR(VLOOKUP($T$161,'TAR FIN'!$A$1:$O$85,15,0)),0,VLOOKUP($T$161,'TAR FIN'!$A$1:$O$85,15,0))</f>
        <v>133.43</v>
      </c>
      <c r="X161" s="6">
        <f>IF(ISERROR(VLOOKUP($U$161,'TAR FIN'!$A$1:$O$85,15,0)),0,VLOOKUP($U$161,'TAR FIN'!$A$1:$O$85,15,0))</f>
        <v>144.82</v>
      </c>
      <c r="Y161" s="6"/>
      <c r="Z161" s="6">
        <f ca="1">('TUSD BE'!$AM$51+'TUSD BF'!$AM$51+'TUSD CVA'!$AM$51)*1</f>
        <v>167.71963492721207</v>
      </c>
      <c r="AA161" s="6">
        <f>('TE BE'!$AB$41+'TE BF'!$AB$41+'TE CVA'!$AB$41)*1</f>
        <v>143.94669369361654</v>
      </c>
      <c r="AB161" s="6">
        <f>$K$161*$V$161</f>
        <v>0</v>
      </c>
      <c r="AC161" s="6">
        <f>$M$161*$W$161</f>
        <v>6085.3420100000003</v>
      </c>
      <c r="AD161" s="6">
        <f>$O$161*$X$161</f>
        <v>6604.8057399999998</v>
      </c>
      <c r="AE161" s="6">
        <f>$K$161*$Y$161</f>
        <v>0</v>
      </c>
      <c r="AF161" s="6">
        <f ca="1">$M$161*$Z$161</f>
        <v>7649.1893901253607</v>
      </c>
      <c r="AG161" s="6">
        <f>$O$161*$AA$161</f>
        <v>6564.9768592847695</v>
      </c>
    </row>
    <row r="162" spans="1:33" ht="11.25" customHeight="1" x14ac:dyDescent="0.25">
      <c r="A162" s="4" t="s">
        <v>21</v>
      </c>
      <c r="B162" s="4" t="s">
        <v>42</v>
      </c>
      <c r="C162" s="4" t="s">
        <v>23</v>
      </c>
      <c r="D162" s="4" t="s">
        <v>43</v>
      </c>
      <c r="E162" s="4" t="s">
        <v>44</v>
      </c>
      <c r="F162" s="4" t="s">
        <v>25</v>
      </c>
      <c r="G162" s="4" t="s">
        <v>25</v>
      </c>
      <c r="H162" s="4" t="s">
        <v>25</v>
      </c>
      <c r="I162" s="5">
        <v>44531</v>
      </c>
      <c r="J162" s="6">
        <v>0</v>
      </c>
      <c r="K162" s="6">
        <v>0</v>
      </c>
      <c r="L162" s="6">
        <v>45.606999999999999</v>
      </c>
      <c r="M162" s="6">
        <v>45.606999999999999</v>
      </c>
      <c r="N162" s="6">
        <v>45.606999999999999</v>
      </c>
      <c r="O162" s="6">
        <v>45.606999999999999</v>
      </c>
      <c r="P162" s="6">
        <v>3</v>
      </c>
      <c r="Q162" s="4" t="s">
        <v>26</v>
      </c>
      <c r="R162" s="4">
        <v>0</v>
      </c>
      <c r="S162" s="6">
        <v>0</v>
      </c>
      <c r="T162" s="6">
        <v>50</v>
      </c>
      <c r="U162" s="6">
        <v>82</v>
      </c>
      <c r="V162" s="6">
        <f>IF(ISERROR(VLOOKUP($S$162,'TAR FIN'!$A$1:$O$85,15,0)),0,VLOOKUP($S$162,'TAR FIN'!$A$1:$O$85,15,0))</f>
        <v>0</v>
      </c>
      <c r="W162" s="6">
        <f>IF(ISERROR(VLOOKUP($T$162,'TAR FIN'!$A$1:$O$85,15,0)),0,VLOOKUP($T$162,'TAR FIN'!$A$1:$O$85,15,0))</f>
        <v>133.43</v>
      </c>
      <c r="X162" s="6">
        <f>IF(ISERROR(VLOOKUP($U$162,'TAR FIN'!$A$1:$O$85,15,0)),0,VLOOKUP($U$162,'TAR FIN'!$A$1:$O$85,15,0))</f>
        <v>144.82</v>
      </c>
      <c r="Y162" s="6"/>
      <c r="Z162" s="6">
        <f ca="1">('TUSD BE'!$AM$51+'TUSD BF'!$AM$51+'TUSD CVA'!$AM$51)*1</f>
        <v>167.71963492721207</v>
      </c>
      <c r="AA162" s="6">
        <f>('TE BE'!$AB$41+'TE BF'!$AB$41+'TE CVA'!$AB$41)*1</f>
        <v>143.94669369361654</v>
      </c>
      <c r="AB162" s="6">
        <f>$K$162*$V$162</f>
        <v>0</v>
      </c>
      <c r="AC162" s="6">
        <f>$M$162*$W$162</f>
        <v>6085.3420100000003</v>
      </c>
      <c r="AD162" s="6">
        <f>$O$162*$X$162</f>
        <v>6604.8057399999998</v>
      </c>
      <c r="AE162" s="6">
        <f>$K$162*$Y$162</f>
        <v>0</v>
      </c>
      <c r="AF162" s="6">
        <f ca="1">$M$162*$Z$162</f>
        <v>7649.1893901253607</v>
      </c>
      <c r="AG162" s="6">
        <f>$O$162*$AA$162</f>
        <v>6564.9768592847695</v>
      </c>
    </row>
    <row r="163" spans="1:33" ht="11.25" customHeight="1" x14ac:dyDescent="0.25">
      <c r="A163" s="4" t="s">
        <v>21</v>
      </c>
      <c r="B163" s="4" t="s">
        <v>42</v>
      </c>
      <c r="C163" s="4" t="s">
        <v>23</v>
      </c>
      <c r="D163" s="4" t="s">
        <v>43</v>
      </c>
      <c r="E163" s="4" t="s">
        <v>44</v>
      </c>
      <c r="F163" s="4" t="s">
        <v>25</v>
      </c>
      <c r="G163" s="4" t="s">
        <v>25</v>
      </c>
      <c r="H163" s="4" t="s">
        <v>25</v>
      </c>
      <c r="I163" s="5">
        <v>44562</v>
      </c>
      <c r="J163" s="6">
        <v>0</v>
      </c>
      <c r="K163" s="6">
        <v>0</v>
      </c>
      <c r="L163" s="6">
        <v>45.606999999999999</v>
      </c>
      <c r="M163" s="6">
        <v>45.606999999999999</v>
      </c>
      <c r="N163" s="6">
        <v>45.606999999999999</v>
      </c>
      <c r="O163" s="6">
        <v>45.606999999999999</v>
      </c>
      <c r="P163" s="6">
        <v>3</v>
      </c>
      <c r="Q163" s="4" t="s">
        <v>26</v>
      </c>
      <c r="R163" s="4">
        <v>0</v>
      </c>
      <c r="S163" s="6">
        <v>0</v>
      </c>
      <c r="T163" s="6">
        <v>50</v>
      </c>
      <c r="U163" s="6">
        <v>82</v>
      </c>
      <c r="V163" s="6">
        <f>IF(ISERROR(VLOOKUP($S$163,'TAR FIN'!$A$1:$O$85,15,0)),0,VLOOKUP($S$163,'TAR FIN'!$A$1:$O$85,15,0))</f>
        <v>0</v>
      </c>
      <c r="W163" s="6">
        <f>IF(ISERROR(VLOOKUP($T$163,'TAR FIN'!$A$1:$O$85,15,0)),0,VLOOKUP($T$163,'TAR FIN'!$A$1:$O$85,15,0))</f>
        <v>133.43</v>
      </c>
      <c r="X163" s="6">
        <f>IF(ISERROR(VLOOKUP($U$163,'TAR FIN'!$A$1:$O$85,15,0)),0,VLOOKUP($U$163,'TAR FIN'!$A$1:$O$85,15,0))</f>
        <v>144.82</v>
      </c>
      <c r="Y163" s="6"/>
      <c r="Z163" s="6">
        <f ca="1">('TUSD BE'!$AM$51+'TUSD BF'!$AM$51+'TUSD CVA'!$AM$51)*1</f>
        <v>167.71963492721207</v>
      </c>
      <c r="AA163" s="6">
        <f>('TE BE'!$AB$41+'TE BF'!$AB$41+'TE CVA'!$AB$41)*1</f>
        <v>143.94669369361654</v>
      </c>
      <c r="AB163" s="6">
        <f>$K$163*$V$163</f>
        <v>0</v>
      </c>
      <c r="AC163" s="6">
        <f>$M$163*$W$163</f>
        <v>6085.3420100000003</v>
      </c>
      <c r="AD163" s="6">
        <f>$O$163*$X$163</f>
        <v>6604.8057399999998</v>
      </c>
      <c r="AE163" s="6">
        <f>$K$163*$Y$163</f>
        <v>0</v>
      </c>
      <c r="AF163" s="6">
        <f ca="1">$M$163*$Z$163</f>
        <v>7649.1893901253607</v>
      </c>
      <c r="AG163" s="6">
        <f>$O$163*$AA$163</f>
        <v>6564.9768592847695</v>
      </c>
    </row>
    <row r="164" spans="1:33" ht="11.25" customHeight="1" x14ac:dyDescent="0.25">
      <c r="A164" s="4" t="s">
        <v>21</v>
      </c>
      <c r="B164" s="4" t="s">
        <v>42</v>
      </c>
      <c r="C164" s="4" t="s">
        <v>23</v>
      </c>
      <c r="D164" s="4" t="s">
        <v>43</v>
      </c>
      <c r="E164" s="4" t="s">
        <v>44</v>
      </c>
      <c r="F164" s="4" t="s">
        <v>25</v>
      </c>
      <c r="G164" s="4" t="s">
        <v>25</v>
      </c>
      <c r="H164" s="4" t="s">
        <v>25</v>
      </c>
      <c r="I164" s="5">
        <v>44593</v>
      </c>
      <c r="J164" s="6">
        <v>0</v>
      </c>
      <c r="K164" s="6">
        <v>0</v>
      </c>
      <c r="L164" s="6">
        <v>45.606999999999999</v>
      </c>
      <c r="M164" s="6">
        <v>45.606999999999999</v>
      </c>
      <c r="N164" s="6">
        <v>45.606999999999999</v>
      </c>
      <c r="O164" s="6">
        <v>45.606999999999999</v>
      </c>
      <c r="P164" s="6">
        <v>3</v>
      </c>
      <c r="Q164" s="4" t="s">
        <v>26</v>
      </c>
      <c r="R164" s="4">
        <v>0</v>
      </c>
      <c r="S164" s="6">
        <v>0</v>
      </c>
      <c r="T164" s="6">
        <v>50</v>
      </c>
      <c r="U164" s="6">
        <v>82</v>
      </c>
      <c r="V164" s="6">
        <f>IF(ISERROR(VLOOKUP($S$164,'TAR FIN'!$A$1:$O$85,15,0)),0,VLOOKUP($S$164,'TAR FIN'!$A$1:$O$85,15,0))</f>
        <v>0</v>
      </c>
      <c r="W164" s="6">
        <f>IF(ISERROR(VLOOKUP($T$164,'TAR FIN'!$A$1:$O$85,15,0)),0,VLOOKUP($T$164,'TAR FIN'!$A$1:$O$85,15,0))</f>
        <v>133.43</v>
      </c>
      <c r="X164" s="6">
        <f>IF(ISERROR(VLOOKUP($U$164,'TAR FIN'!$A$1:$O$85,15,0)),0,VLOOKUP($U$164,'TAR FIN'!$A$1:$O$85,15,0))</f>
        <v>144.82</v>
      </c>
      <c r="Y164" s="6"/>
      <c r="Z164" s="6">
        <f ca="1">('TUSD BE'!$AM$51+'TUSD BF'!$AM$51+'TUSD CVA'!$AM$51)*1</f>
        <v>167.71963492721207</v>
      </c>
      <c r="AA164" s="6">
        <f>('TE BE'!$AB$41+'TE BF'!$AB$41+'TE CVA'!$AB$41)*1</f>
        <v>143.94669369361654</v>
      </c>
      <c r="AB164" s="6">
        <f>$K$164*$V$164</f>
        <v>0</v>
      </c>
      <c r="AC164" s="6">
        <f>$M$164*$W$164</f>
        <v>6085.3420100000003</v>
      </c>
      <c r="AD164" s="6">
        <f>$O$164*$X$164</f>
        <v>6604.8057399999998</v>
      </c>
      <c r="AE164" s="6">
        <f>$K$164*$Y$164</f>
        <v>0</v>
      </c>
      <c r="AF164" s="6">
        <f ca="1">$M$164*$Z$164</f>
        <v>7649.1893901253607</v>
      </c>
      <c r="AG164" s="6">
        <f>$O$164*$AA$164</f>
        <v>6564.9768592847695</v>
      </c>
    </row>
    <row r="165" spans="1:33" ht="11.25" customHeight="1" x14ac:dyDescent="0.25">
      <c r="A165" s="4" t="s">
        <v>21</v>
      </c>
      <c r="B165" s="4" t="s">
        <v>42</v>
      </c>
      <c r="C165" s="4" t="s">
        <v>23</v>
      </c>
      <c r="D165" s="4" t="s">
        <v>43</v>
      </c>
      <c r="E165" s="4" t="s">
        <v>44</v>
      </c>
      <c r="F165" s="4" t="s">
        <v>25</v>
      </c>
      <c r="G165" s="4" t="s">
        <v>25</v>
      </c>
      <c r="H165" s="4" t="s">
        <v>25</v>
      </c>
      <c r="I165" s="5">
        <v>44621</v>
      </c>
      <c r="J165" s="6">
        <v>0</v>
      </c>
      <c r="K165" s="6">
        <v>0</v>
      </c>
      <c r="L165" s="6">
        <v>45.606999999999999</v>
      </c>
      <c r="M165" s="6">
        <v>45.606999999999999</v>
      </c>
      <c r="N165" s="6">
        <v>45.606999999999999</v>
      </c>
      <c r="O165" s="6">
        <v>45.606999999999999</v>
      </c>
      <c r="P165" s="6">
        <v>3</v>
      </c>
      <c r="Q165" s="4" t="s">
        <v>26</v>
      </c>
      <c r="R165" s="4">
        <v>0</v>
      </c>
      <c r="S165" s="6">
        <v>0</v>
      </c>
      <c r="T165" s="6">
        <v>50</v>
      </c>
      <c r="U165" s="6">
        <v>82</v>
      </c>
      <c r="V165" s="6">
        <f>IF(ISERROR(VLOOKUP($S$165,'TAR FIN'!$A$1:$O$85,15,0)),0,VLOOKUP($S$165,'TAR FIN'!$A$1:$O$85,15,0))</f>
        <v>0</v>
      </c>
      <c r="W165" s="6">
        <f>IF(ISERROR(VLOOKUP($T$165,'TAR FIN'!$A$1:$O$85,15,0)),0,VLOOKUP($T$165,'TAR FIN'!$A$1:$O$85,15,0))</f>
        <v>133.43</v>
      </c>
      <c r="X165" s="6">
        <f>IF(ISERROR(VLOOKUP($U$165,'TAR FIN'!$A$1:$O$85,15,0)),0,VLOOKUP($U$165,'TAR FIN'!$A$1:$O$85,15,0))</f>
        <v>144.82</v>
      </c>
      <c r="Y165" s="6"/>
      <c r="Z165" s="6">
        <f ca="1">('TUSD BE'!$AM$51+'TUSD BF'!$AM$51+'TUSD CVA'!$AM$51)*1</f>
        <v>167.71963492721207</v>
      </c>
      <c r="AA165" s="6">
        <f>('TE BE'!$AB$41+'TE BF'!$AB$41+'TE CVA'!$AB$41)*1</f>
        <v>143.94669369361654</v>
      </c>
      <c r="AB165" s="6">
        <f>$K$165*$V$165</f>
        <v>0</v>
      </c>
      <c r="AC165" s="6">
        <f>$M$165*$W$165</f>
        <v>6085.3420100000003</v>
      </c>
      <c r="AD165" s="6">
        <f>$O$165*$X$165</f>
        <v>6604.8057399999998</v>
      </c>
      <c r="AE165" s="6">
        <f>$K$165*$Y$165</f>
        <v>0</v>
      </c>
      <c r="AF165" s="6">
        <f ca="1">$M$165*$Z$165</f>
        <v>7649.1893901253607</v>
      </c>
      <c r="AG165" s="6">
        <f>$O$165*$AA$165</f>
        <v>6564.9768592847695</v>
      </c>
    </row>
    <row r="166" spans="1:33" ht="11.25" customHeight="1" x14ac:dyDescent="0.25">
      <c r="A166" s="4" t="s">
        <v>21</v>
      </c>
      <c r="B166" s="4" t="s">
        <v>42</v>
      </c>
      <c r="C166" s="4" t="s">
        <v>23</v>
      </c>
      <c r="D166" s="4" t="s">
        <v>43</v>
      </c>
      <c r="E166" s="4" t="s">
        <v>44</v>
      </c>
      <c r="F166" s="4" t="s">
        <v>25</v>
      </c>
      <c r="G166" s="4" t="s">
        <v>25</v>
      </c>
      <c r="H166" s="4" t="s">
        <v>25</v>
      </c>
      <c r="I166" s="5">
        <v>44652</v>
      </c>
      <c r="J166" s="6">
        <v>0</v>
      </c>
      <c r="K166" s="6">
        <v>0</v>
      </c>
      <c r="L166" s="6">
        <v>45.606999999999999</v>
      </c>
      <c r="M166" s="6">
        <v>45.606999999999999</v>
      </c>
      <c r="N166" s="6">
        <v>45.606999999999999</v>
      </c>
      <c r="O166" s="6">
        <v>45.606999999999999</v>
      </c>
      <c r="P166" s="6">
        <v>3</v>
      </c>
      <c r="Q166" s="4" t="s">
        <v>26</v>
      </c>
      <c r="R166" s="4">
        <v>0</v>
      </c>
      <c r="S166" s="6">
        <v>0</v>
      </c>
      <c r="T166" s="6">
        <v>50</v>
      </c>
      <c r="U166" s="6">
        <v>82</v>
      </c>
      <c r="V166" s="6">
        <f>IF(ISERROR(VLOOKUP($S$166,'TAR FIN'!$A$1:$O$85,15,0)),0,VLOOKUP($S$166,'TAR FIN'!$A$1:$O$85,15,0))</f>
        <v>0</v>
      </c>
      <c r="W166" s="6">
        <f>IF(ISERROR(VLOOKUP($T$166,'TAR FIN'!$A$1:$O$85,15,0)),0,VLOOKUP($T$166,'TAR FIN'!$A$1:$O$85,15,0))</f>
        <v>133.43</v>
      </c>
      <c r="X166" s="6">
        <f>IF(ISERROR(VLOOKUP($U$166,'TAR FIN'!$A$1:$O$85,15,0)),0,VLOOKUP($U$166,'TAR FIN'!$A$1:$O$85,15,0))</f>
        <v>144.82</v>
      </c>
      <c r="Y166" s="6"/>
      <c r="Z166" s="6">
        <f ca="1">('TUSD BE'!$AM$51+'TUSD BF'!$AM$51+'TUSD CVA'!$AM$51)*1</f>
        <v>167.71963492721207</v>
      </c>
      <c r="AA166" s="6">
        <f>('TE BE'!$AB$41+'TE BF'!$AB$41+'TE CVA'!$AB$41)*1</f>
        <v>143.94669369361654</v>
      </c>
      <c r="AB166" s="6">
        <f>$K$166*$V$166</f>
        <v>0</v>
      </c>
      <c r="AC166" s="6">
        <f>$M$166*$W$166</f>
        <v>6085.3420100000003</v>
      </c>
      <c r="AD166" s="6">
        <f>$O$166*$X$166</f>
        <v>6604.8057399999998</v>
      </c>
      <c r="AE166" s="6">
        <f>$K$166*$Y$166</f>
        <v>0</v>
      </c>
      <c r="AF166" s="6">
        <f ca="1">$M$166*$Z$166</f>
        <v>7649.1893901253607</v>
      </c>
      <c r="AG166" s="6">
        <f>$O$166*$AA$166</f>
        <v>6564.9768592847695</v>
      </c>
    </row>
    <row r="167" spans="1:33" ht="11.25" customHeight="1" x14ac:dyDescent="0.25">
      <c r="A167" s="4" t="s">
        <v>21</v>
      </c>
      <c r="B167" s="4" t="s">
        <v>42</v>
      </c>
      <c r="C167" s="4" t="s">
        <v>23</v>
      </c>
      <c r="D167" s="4" t="s">
        <v>43</v>
      </c>
      <c r="E167" s="4" t="s">
        <v>44</v>
      </c>
      <c r="F167" s="4" t="s">
        <v>25</v>
      </c>
      <c r="G167" s="4" t="s">
        <v>25</v>
      </c>
      <c r="H167" s="4" t="s">
        <v>25</v>
      </c>
      <c r="I167" s="5">
        <v>44682</v>
      </c>
      <c r="J167" s="6">
        <v>0</v>
      </c>
      <c r="K167" s="6">
        <v>0</v>
      </c>
      <c r="L167" s="6">
        <v>45.606999999999999</v>
      </c>
      <c r="M167" s="6">
        <v>45.606999999999999</v>
      </c>
      <c r="N167" s="6">
        <v>45.606999999999999</v>
      </c>
      <c r="O167" s="6">
        <v>45.606999999999999</v>
      </c>
      <c r="P167" s="6">
        <v>3</v>
      </c>
      <c r="Q167" s="4" t="s">
        <v>26</v>
      </c>
      <c r="R167" s="4">
        <v>0</v>
      </c>
      <c r="S167" s="6">
        <v>0</v>
      </c>
      <c r="T167" s="6">
        <v>50</v>
      </c>
      <c r="U167" s="6">
        <v>82</v>
      </c>
      <c r="V167" s="6">
        <f>IF(ISERROR(VLOOKUP($S$167,'TAR FIN'!$A$1:$O$85,15,0)),0,VLOOKUP($S$167,'TAR FIN'!$A$1:$O$85,15,0))</f>
        <v>0</v>
      </c>
      <c r="W167" s="6">
        <f>IF(ISERROR(VLOOKUP($T$167,'TAR FIN'!$A$1:$O$85,15,0)),0,VLOOKUP($T$167,'TAR FIN'!$A$1:$O$85,15,0))</f>
        <v>133.43</v>
      </c>
      <c r="X167" s="6">
        <f>IF(ISERROR(VLOOKUP($U$167,'TAR FIN'!$A$1:$O$85,15,0)),0,VLOOKUP($U$167,'TAR FIN'!$A$1:$O$85,15,0))</f>
        <v>144.82</v>
      </c>
      <c r="Y167" s="6"/>
      <c r="Z167" s="6">
        <f ca="1">('TUSD BE'!$AM$51+'TUSD BF'!$AM$51+'TUSD CVA'!$AM$51)*1</f>
        <v>167.71963492721207</v>
      </c>
      <c r="AA167" s="6">
        <f>('TE BE'!$AB$41+'TE BF'!$AB$41+'TE CVA'!$AB$41)*1</f>
        <v>143.94669369361654</v>
      </c>
      <c r="AB167" s="6">
        <f>$K$167*$V$167</f>
        <v>0</v>
      </c>
      <c r="AC167" s="6">
        <f>$M$167*$W$167</f>
        <v>6085.3420100000003</v>
      </c>
      <c r="AD167" s="6">
        <f>$O$167*$X$167</f>
        <v>6604.8057399999998</v>
      </c>
      <c r="AE167" s="6">
        <f>$K$167*$Y$167</f>
        <v>0</v>
      </c>
      <c r="AF167" s="6">
        <f ca="1">$M$167*$Z$167</f>
        <v>7649.1893901253607</v>
      </c>
      <c r="AG167" s="6">
        <f>$O$167*$AA$167</f>
        <v>6564.9768592847695</v>
      </c>
    </row>
    <row r="168" spans="1:33" ht="11.25" customHeight="1" x14ac:dyDescent="0.25">
      <c r="A168" s="4" t="s">
        <v>21</v>
      </c>
      <c r="B168" s="4" t="s">
        <v>42</v>
      </c>
      <c r="C168" s="4" t="s">
        <v>23</v>
      </c>
      <c r="D168" s="4" t="s">
        <v>43</v>
      </c>
      <c r="E168" s="4" t="s">
        <v>44</v>
      </c>
      <c r="F168" s="4" t="s">
        <v>25</v>
      </c>
      <c r="G168" s="4" t="s">
        <v>25</v>
      </c>
      <c r="H168" s="4" t="s">
        <v>25</v>
      </c>
      <c r="I168" s="5">
        <v>44713</v>
      </c>
      <c r="J168" s="6">
        <v>0</v>
      </c>
      <c r="K168" s="6">
        <v>0</v>
      </c>
      <c r="L168" s="6">
        <v>45.606999999999999</v>
      </c>
      <c r="M168" s="6">
        <v>45.606999999999999</v>
      </c>
      <c r="N168" s="6">
        <v>45.606999999999999</v>
      </c>
      <c r="O168" s="6">
        <v>45.606999999999999</v>
      </c>
      <c r="P168" s="6">
        <v>3</v>
      </c>
      <c r="Q168" s="4" t="s">
        <v>26</v>
      </c>
      <c r="R168" s="4">
        <v>0</v>
      </c>
      <c r="S168" s="6">
        <v>0</v>
      </c>
      <c r="T168" s="6">
        <v>50</v>
      </c>
      <c r="U168" s="6">
        <v>82</v>
      </c>
      <c r="V168" s="6">
        <f>IF(ISERROR(VLOOKUP($S$168,'TAR FIN'!$A$1:$O$85,15,0)),0,VLOOKUP($S$168,'TAR FIN'!$A$1:$O$85,15,0))</f>
        <v>0</v>
      </c>
      <c r="W168" s="6">
        <f>IF(ISERROR(VLOOKUP($T$168,'TAR FIN'!$A$1:$O$85,15,0)),0,VLOOKUP($T$168,'TAR FIN'!$A$1:$O$85,15,0))</f>
        <v>133.43</v>
      </c>
      <c r="X168" s="6">
        <f>IF(ISERROR(VLOOKUP($U$168,'TAR FIN'!$A$1:$O$85,15,0)),0,VLOOKUP($U$168,'TAR FIN'!$A$1:$O$85,15,0))</f>
        <v>144.82</v>
      </c>
      <c r="Y168" s="6"/>
      <c r="Z168" s="6">
        <f ca="1">('TUSD BE'!$AM$51+'TUSD BF'!$AM$51+'TUSD CVA'!$AM$51)*1</f>
        <v>167.71963492721207</v>
      </c>
      <c r="AA168" s="6">
        <f>('TE BE'!$AB$41+'TE BF'!$AB$41+'TE CVA'!$AB$41)*1</f>
        <v>143.94669369361654</v>
      </c>
      <c r="AB168" s="6">
        <f>$K$168*$V$168</f>
        <v>0</v>
      </c>
      <c r="AC168" s="6">
        <f>$M$168*$W$168</f>
        <v>6085.3420100000003</v>
      </c>
      <c r="AD168" s="6">
        <f>$O$168*$X$168</f>
        <v>6604.8057399999998</v>
      </c>
      <c r="AE168" s="6">
        <f>$K$168*$Y$168</f>
        <v>0</v>
      </c>
      <c r="AF168" s="6">
        <f ca="1">$M$168*$Z$168</f>
        <v>7649.1893901253607</v>
      </c>
      <c r="AG168" s="6">
        <f>$O$168*$AA$168</f>
        <v>6564.9768592847695</v>
      </c>
    </row>
    <row r="169" spans="1:33" ht="11.25" customHeight="1" x14ac:dyDescent="0.25">
      <c r="A169" s="4" t="s">
        <v>21</v>
      </c>
      <c r="B169" s="4" t="s">
        <v>42</v>
      </c>
      <c r="C169" s="4" t="s">
        <v>23</v>
      </c>
      <c r="D169" s="4" t="s">
        <v>43</v>
      </c>
      <c r="E169" s="4" t="s">
        <v>44</v>
      </c>
      <c r="F169" s="4" t="s">
        <v>25</v>
      </c>
      <c r="G169" s="4" t="s">
        <v>25</v>
      </c>
      <c r="H169" s="4" t="s">
        <v>25</v>
      </c>
      <c r="I169" s="5">
        <v>44743</v>
      </c>
      <c r="J169" s="6">
        <v>0</v>
      </c>
      <c r="K169" s="6">
        <v>0</v>
      </c>
      <c r="L169" s="6">
        <v>45.606999999999999</v>
      </c>
      <c r="M169" s="6">
        <v>45.606999999999999</v>
      </c>
      <c r="N169" s="6">
        <v>45.606999999999999</v>
      </c>
      <c r="O169" s="6">
        <v>45.606999999999999</v>
      </c>
      <c r="P169" s="6">
        <v>3</v>
      </c>
      <c r="Q169" s="4" t="s">
        <v>26</v>
      </c>
      <c r="R169" s="4">
        <v>0</v>
      </c>
      <c r="S169" s="6">
        <v>0</v>
      </c>
      <c r="T169" s="6">
        <v>50</v>
      </c>
      <c r="U169" s="6">
        <v>82</v>
      </c>
      <c r="V169" s="6">
        <f>IF(ISERROR(VLOOKUP($S$169,'TAR FIN'!$A$1:$O$85,15,0)),0,VLOOKUP($S$169,'TAR FIN'!$A$1:$O$85,15,0))</f>
        <v>0</v>
      </c>
      <c r="W169" s="6">
        <f>IF(ISERROR(VLOOKUP($T$169,'TAR FIN'!$A$1:$O$85,15,0)),0,VLOOKUP($T$169,'TAR FIN'!$A$1:$O$85,15,0))</f>
        <v>133.43</v>
      </c>
      <c r="X169" s="6">
        <f>IF(ISERROR(VLOOKUP($U$169,'TAR FIN'!$A$1:$O$85,15,0)),0,VLOOKUP($U$169,'TAR FIN'!$A$1:$O$85,15,0))</f>
        <v>144.82</v>
      </c>
      <c r="Y169" s="6"/>
      <c r="Z169" s="6">
        <f ca="1">('TUSD BE'!$AM$51+'TUSD BF'!$AM$51+'TUSD CVA'!$AM$51)*1</f>
        <v>167.71963492721207</v>
      </c>
      <c r="AA169" s="6">
        <f>('TE BE'!$AB$41+'TE BF'!$AB$41+'TE CVA'!$AB$41)*1</f>
        <v>143.94669369361654</v>
      </c>
      <c r="AB169" s="6">
        <f>$K$169*$V$169</f>
        <v>0</v>
      </c>
      <c r="AC169" s="6">
        <f>$M$169*$W$169</f>
        <v>6085.3420100000003</v>
      </c>
      <c r="AD169" s="6">
        <f>$O$169*$X$169</f>
        <v>6604.8057399999998</v>
      </c>
      <c r="AE169" s="6">
        <f>$K$169*$Y$169</f>
        <v>0</v>
      </c>
      <c r="AF169" s="6">
        <f ca="1">$M$169*$Z$169</f>
        <v>7649.1893901253607</v>
      </c>
      <c r="AG169" s="6">
        <f>$O$169*$AA$169</f>
        <v>6564.9768592847695</v>
      </c>
    </row>
    <row r="170" spans="1:33" ht="11.25" customHeight="1" x14ac:dyDescent="0.25">
      <c r="A170" s="4" t="s">
        <v>21</v>
      </c>
      <c r="B170" s="4" t="s">
        <v>42</v>
      </c>
      <c r="C170" s="4" t="s">
        <v>23</v>
      </c>
      <c r="D170" s="4" t="s">
        <v>43</v>
      </c>
      <c r="E170" s="4" t="s">
        <v>44</v>
      </c>
      <c r="F170" s="4" t="s">
        <v>25</v>
      </c>
      <c r="G170" s="4" t="s">
        <v>25</v>
      </c>
      <c r="H170" s="4" t="s">
        <v>25</v>
      </c>
      <c r="I170" s="5">
        <v>44774</v>
      </c>
      <c r="J170" s="6">
        <v>0</v>
      </c>
      <c r="K170" s="6">
        <v>0</v>
      </c>
      <c r="L170" s="6">
        <v>45.606999999999999</v>
      </c>
      <c r="M170" s="6">
        <v>45.606999999999999</v>
      </c>
      <c r="N170" s="6">
        <v>45.606999999999999</v>
      </c>
      <c r="O170" s="6">
        <v>45.606999999999999</v>
      </c>
      <c r="P170" s="6">
        <v>3</v>
      </c>
      <c r="Q170" s="4" t="s">
        <v>26</v>
      </c>
      <c r="R170" s="4">
        <v>0</v>
      </c>
      <c r="S170" s="6">
        <v>0</v>
      </c>
      <c r="T170" s="6">
        <v>50</v>
      </c>
      <c r="U170" s="6">
        <v>82</v>
      </c>
      <c r="V170" s="6">
        <f>IF(ISERROR(VLOOKUP($S$170,'TAR FIN'!$A$1:$O$85,15,0)),0,VLOOKUP($S$170,'TAR FIN'!$A$1:$O$85,15,0))</f>
        <v>0</v>
      </c>
      <c r="W170" s="6">
        <f>IF(ISERROR(VLOOKUP($T$170,'TAR FIN'!$A$1:$O$85,15,0)),0,VLOOKUP($T$170,'TAR FIN'!$A$1:$O$85,15,0))</f>
        <v>133.43</v>
      </c>
      <c r="X170" s="6">
        <f>IF(ISERROR(VLOOKUP($U$170,'TAR FIN'!$A$1:$O$85,15,0)),0,VLOOKUP($U$170,'TAR FIN'!$A$1:$O$85,15,0))</f>
        <v>144.82</v>
      </c>
      <c r="Y170" s="6"/>
      <c r="Z170" s="6">
        <f ca="1">('TUSD BE'!$AM$51+'TUSD BF'!$AM$51+'TUSD CVA'!$AM$51)*1</f>
        <v>167.71963492721207</v>
      </c>
      <c r="AA170" s="6">
        <f>('TE BE'!$AB$41+'TE BF'!$AB$41+'TE CVA'!$AB$41)*1</f>
        <v>143.94669369361654</v>
      </c>
      <c r="AB170" s="6">
        <f>$K$170*$V$170</f>
        <v>0</v>
      </c>
      <c r="AC170" s="6">
        <f>$M$170*$W$170</f>
        <v>6085.3420100000003</v>
      </c>
      <c r="AD170" s="6">
        <f>$O$170*$X$170</f>
        <v>6604.8057399999998</v>
      </c>
      <c r="AE170" s="6">
        <f>$K$170*$Y$170</f>
        <v>0</v>
      </c>
      <c r="AF170" s="6">
        <f ca="1">$M$170*$Z$170</f>
        <v>7649.1893901253607</v>
      </c>
      <c r="AG170" s="6">
        <f>$O$170*$AA$170</f>
        <v>6564.9768592847695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6EE3-9508-4454-85CF-6C80AC79819D}">
  <dimension ref="A1:AJ171"/>
  <sheetViews>
    <sheetView showGridLines="0" topLeftCell="AC1" workbookViewId="0">
      <selection activeCell="AJ12" sqref="AJ12"/>
    </sheetView>
  </sheetViews>
  <sheetFormatPr defaultRowHeight="11.25" customHeight="1" x14ac:dyDescent="0.25"/>
  <cols>
    <col min="1" max="1" width="15.85546875" style="4" bestFit="1" customWidth="1"/>
    <col min="2" max="2" width="13.28515625" style="4" bestFit="1" customWidth="1"/>
    <col min="3" max="3" width="14.5703125" style="4" bestFit="1" customWidth="1"/>
    <col min="4" max="4" width="11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19.140625" style="4" bestFit="1" customWidth="1"/>
    <col min="29" max="29" width="20.5703125" style="4" bestFit="1" customWidth="1"/>
    <col min="30" max="30" width="19" style="4" bestFit="1" customWidth="1"/>
    <col min="31" max="31" width="20.42578125" style="4" bestFit="1" customWidth="1"/>
    <col min="32" max="32" width="32.140625" style="4" bestFit="1" customWidth="1"/>
    <col min="33" max="33" width="9.140625" style="4"/>
    <col min="34" max="34" width="32.140625" style="4" bestFit="1" customWidth="1"/>
    <col min="35" max="36" width="7.85546875" style="4" bestFit="1" customWidth="1"/>
    <col min="37" max="16384" width="9.140625" style="4"/>
  </cols>
  <sheetData>
    <row r="1" spans="1:36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472</v>
      </c>
      <c r="W1" s="1" t="s">
        <v>473</v>
      </c>
      <c r="X1" s="1" t="s">
        <v>474</v>
      </c>
      <c r="Y1" s="1" t="s">
        <v>475</v>
      </c>
      <c r="Z1" s="1" t="s">
        <v>476</v>
      </c>
      <c r="AA1" s="1" t="s">
        <v>477</v>
      </c>
      <c r="AB1" s="1" t="s">
        <v>519</v>
      </c>
      <c r="AC1" s="1" t="s">
        <v>520</v>
      </c>
      <c r="AD1" s="1" t="s">
        <v>521</v>
      </c>
      <c r="AE1" s="1" t="s">
        <v>522</v>
      </c>
      <c r="AF1" s="1" t="s">
        <v>523</v>
      </c>
      <c r="AH1" s="34" t="s">
        <v>523</v>
      </c>
      <c r="AI1" s="34" t="s">
        <v>527</v>
      </c>
      <c r="AJ1" s="34" t="s">
        <v>528</v>
      </c>
    </row>
    <row r="2" spans="1:36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44440</v>
      </c>
      <c r="J2" s="6">
        <v>0</v>
      </c>
      <c r="K2" s="6">
        <v>0</v>
      </c>
      <c r="L2" s="6">
        <v>237.81800000000001</v>
      </c>
      <c r="M2" s="6">
        <v>237.81800000000001</v>
      </c>
      <c r="N2" s="6">
        <v>237.81800000000001</v>
      </c>
      <c r="O2" s="6">
        <v>237.81800000000001</v>
      </c>
      <c r="P2" s="6">
        <v>1033</v>
      </c>
      <c r="Q2" s="4" t="s">
        <v>26</v>
      </c>
      <c r="R2" s="4">
        <v>0</v>
      </c>
      <c r="S2" s="4">
        <v>0</v>
      </c>
      <c r="T2" s="4">
        <v>17</v>
      </c>
      <c r="U2" s="4">
        <v>52</v>
      </c>
      <c r="V2" s="6">
        <f>IF(ISERROR(VLOOKUP($S$2,'TAR FIN'!$A$1:$O$85,15,0)),0,VLOOKUP($S$2,'TAR FIN'!$A$1:$O$85,15,0))</f>
        <v>0</v>
      </c>
      <c r="W2" s="6">
        <f>IF(ISERROR(VLOOKUP($T$2,'TAR FIN'!$A$1:$O$85,15,0)),0,VLOOKUP($T$2,'TAR FIN'!$A$1:$O$85,15,0))</f>
        <v>222.38</v>
      </c>
      <c r="X2" s="6">
        <f>IF(ISERROR(VLOOKUP($U$2,'TAR FIN'!$A$1:$O$85,15,0)),0,VLOOKUP($U$2,'TAR FIN'!$A$1:$O$85,15,0))</f>
        <v>241.37</v>
      </c>
      <c r="Y2" s="6"/>
      <c r="Z2" s="6">
        <f ca="1">('TUSD BE'!$AM$20+'TUSD BF'!$AM$20+'TUSD CVA'!$AM$20)*1</f>
        <v>279.53272487868679</v>
      </c>
      <c r="AA2" s="6">
        <f>('TE BE'!$AB$10+'TE BF'!$AB$10+'TE CVA'!$AB$10)*1</f>
        <v>239.91115615602757</v>
      </c>
      <c r="AB2" s="6">
        <f t="shared" ref="AB2:AB33" si="0">(J2-K2)*V2</f>
        <v>0</v>
      </c>
      <c r="AC2" s="6">
        <f>(L2-M2)*W2+(N2-O2)*X2</f>
        <v>0</v>
      </c>
      <c r="AD2" s="6">
        <f t="shared" ref="AD2:AD33" si="1">(J2-K2)*Y2</f>
        <v>0</v>
      </c>
      <c r="AE2" s="6">
        <f ca="1">(L2-M2)*Z2+(N2-O2)*AA2</f>
        <v>0</v>
      </c>
      <c r="AH2" s="35" t="s">
        <v>529</v>
      </c>
      <c r="AI2" s="36">
        <f t="shared" ref="AI2:AI9" si="2">SUMIF($AF$2:$AF$171,AH2,$AB$2:$AB$171)+SUMIF($AF$2:$AF$171,AH2,$AC$2:$AC$171)</f>
        <v>0</v>
      </c>
      <c r="AJ2" s="36">
        <f t="shared" ref="AJ2:AJ9" si="3">SUMIF($AF$2:$AF$171,AH2,$AD$2:$AD$171)+SUMIF($AF$2:$AF$171,AH2,$AE$2:$AE$171)</f>
        <v>0</v>
      </c>
    </row>
    <row r="3" spans="1:36" ht="11.25" customHeight="1" x14ac:dyDescent="0.25">
      <c r="A3" s="4" t="s">
        <v>21</v>
      </c>
      <c r="B3" s="4" t="s">
        <v>22</v>
      </c>
      <c r="C3" s="4" t="s">
        <v>23</v>
      </c>
      <c r="D3" s="4" t="s">
        <v>24</v>
      </c>
      <c r="E3" s="4" t="s">
        <v>27</v>
      </c>
      <c r="F3" s="4" t="s">
        <v>25</v>
      </c>
      <c r="G3" s="4" t="s">
        <v>25</v>
      </c>
      <c r="H3" s="4" t="s">
        <v>25</v>
      </c>
      <c r="I3" s="5">
        <v>44440</v>
      </c>
      <c r="J3" s="6">
        <v>0</v>
      </c>
      <c r="K3" s="6">
        <v>0</v>
      </c>
      <c r="L3" s="6">
        <v>0.06</v>
      </c>
      <c r="M3" s="6">
        <v>0.06</v>
      </c>
      <c r="N3" s="6">
        <v>0.06</v>
      </c>
      <c r="O3" s="6">
        <v>0.06</v>
      </c>
      <c r="P3" s="6">
        <v>0</v>
      </c>
      <c r="Q3" s="4" t="s">
        <v>26</v>
      </c>
      <c r="R3" s="4">
        <v>0</v>
      </c>
      <c r="S3" s="4">
        <v>0</v>
      </c>
      <c r="T3" s="4">
        <v>4</v>
      </c>
      <c r="U3" s="4">
        <v>54</v>
      </c>
      <c r="V3" s="6">
        <f>IF(ISERROR(VLOOKUP($S$3,'TAR FIN'!$A$1:$O$85,15,0)),0,VLOOKUP($S$3,'TAR FIN'!$A$1:$O$85,15,0))</f>
        <v>0</v>
      </c>
      <c r="W3" s="6">
        <f>IF(ISERROR(VLOOKUP($T$3,'TAR FIN'!$A$1:$O$85,15,0)),0,VLOOKUP($T$3,'TAR FIN'!$A$1:$O$85,15,0))</f>
        <v>55.3</v>
      </c>
      <c r="X3" s="6">
        <f>IF(ISERROR(VLOOKUP($U$3,'TAR FIN'!$A$1:$O$85,15,0)),0,VLOOKUP($U$3,'TAR FIN'!$A$1:$O$85,15,0))</f>
        <v>84.48</v>
      </c>
      <c r="Y3" s="6"/>
      <c r="Z3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3" s="6">
        <f>('TE BE'!$AB$11+'TE BF'!$AB$11+'TE CVA'!$AB$11)*(1-CUSTOS!$M$34)</f>
        <v>83.968904654609645</v>
      </c>
      <c r="AB3" s="6">
        <f t="shared" si="0"/>
        <v>0</v>
      </c>
      <c r="AC3" s="6">
        <f>(L3-M3)*(W3+X3)+($W$28+$X$28-$W$3-$X$3)*(L3)</f>
        <v>15.574799999999998</v>
      </c>
      <c r="AD3" s="6">
        <f t="shared" si="1"/>
        <v>0</v>
      </c>
      <c r="AE3" s="6">
        <f ca="1">(L3-M3)*(Z3+AA3)+($Z$28+$AA$28-$Z$3-$AA$3)*(L3)</f>
        <v>16.350881988022721</v>
      </c>
      <c r="AF3" s="4" t="s">
        <v>524</v>
      </c>
      <c r="AH3" s="35" t="s">
        <v>530</v>
      </c>
      <c r="AI3" s="36">
        <f t="shared" si="2"/>
        <v>0</v>
      </c>
      <c r="AJ3" s="36">
        <f t="shared" si="3"/>
        <v>0</v>
      </c>
    </row>
    <row r="4" spans="1:36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27</v>
      </c>
      <c r="F4" s="4" t="s">
        <v>25</v>
      </c>
      <c r="G4" s="4" t="s">
        <v>25</v>
      </c>
      <c r="H4" s="4" t="s">
        <v>25</v>
      </c>
      <c r="I4" s="5">
        <v>44470</v>
      </c>
      <c r="J4" s="6">
        <v>0</v>
      </c>
      <c r="K4" s="6">
        <v>0</v>
      </c>
      <c r="L4" s="6">
        <v>0.189</v>
      </c>
      <c r="M4" s="6">
        <v>0.189</v>
      </c>
      <c r="N4" s="6">
        <v>0.189</v>
      </c>
      <c r="O4" s="6">
        <v>0.189</v>
      </c>
      <c r="P4" s="6">
        <v>1</v>
      </c>
      <c r="Q4" s="4" t="s">
        <v>26</v>
      </c>
      <c r="R4" s="4">
        <v>0</v>
      </c>
      <c r="S4" s="4">
        <v>0</v>
      </c>
      <c r="T4" s="4">
        <v>4</v>
      </c>
      <c r="U4" s="4">
        <v>54</v>
      </c>
      <c r="V4" s="6">
        <f>IF(ISERROR(VLOOKUP($S$4,'TAR FIN'!$A$1:$O$85,15,0)),0,VLOOKUP($S$4,'TAR FIN'!$A$1:$O$85,15,0))</f>
        <v>0</v>
      </c>
      <c r="W4" s="6">
        <f>IF(ISERROR(VLOOKUP($T$4,'TAR FIN'!$A$1:$O$85,15,0)),0,VLOOKUP($T$4,'TAR FIN'!$A$1:$O$85,15,0))</f>
        <v>55.3</v>
      </c>
      <c r="X4" s="6">
        <f>IF(ISERROR(VLOOKUP($U$4,'TAR FIN'!$A$1:$O$85,15,0)),0,VLOOKUP($U$4,'TAR FIN'!$A$1:$O$85,15,0))</f>
        <v>84.48</v>
      </c>
      <c r="Y4" s="6"/>
      <c r="Z4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4" s="6">
        <f>('TE BE'!$AB$11+'TE BF'!$AB$11+'TE CVA'!$AB$11)*(1-CUSTOS!$M$34)</f>
        <v>83.968904654609645</v>
      </c>
      <c r="AB4" s="6">
        <f t="shared" si="0"/>
        <v>0</v>
      </c>
      <c r="AC4" s="6">
        <f>(L4-M4)*(W4+X4)+($W$28+$X$28-$W$4-$X$4)*(L4)</f>
        <v>49.06062</v>
      </c>
      <c r="AD4" s="6">
        <f t="shared" si="1"/>
        <v>0</v>
      </c>
      <c r="AE4" s="6">
        <f ca="1">(L4-M4)*(Z4+AA4)+($Z$28+$AA$28-$Z$4-$AA$4)*(L4)</f>
        <v>51.505278262271574</v>
      </c>
      <c r="AF4" s="4" t="s">
        <v>524</v>
      </c>
      <c r="AH4" s="35" t="s">
        <v>531</v>
      </c>
      <c r="AI4" s="36">
        <f t="shared" si="2"/>
        <v>0</v>
      </c>
      <c r="AJ4" s="36">
        <f t="shared" si="3"/>
        <v>0</v>
      </c>
    </row>
    <row r="5" spans="1:36" ht="11.25" customHeight="1" x14ac:dyDescent="0.25">
      <c r="A5" s="4" t="s">
        <v>21</v>
      </c>
      <c r="B5" s="4" t="s">
        <v>22</v>
      </c>
      <c r="C5" s="4" t="s">
        <v>23</v>
      </c>
      <c r="D5" s="4" t="s">
        <v>24</v>
      </c>
      <c r="E5" s="4" t="s">
        <v>27</v>
      </c>
      <c r="F5" s="4" t="s">
        <v>25</v>
      </c>
      <c r="G5" s="4" t="s">
        <v>25</v>
      </c>
      <c r="H5" s="4" t="s">
        <v>25</v>
      </c>
      <c r="I5" s="5">
        <v>44501</v>
      </c>
      <c r="J5" s="6">
        <v>0</v>
      </c>
      <c r="K5" s="6">
        <v>0</v>
      </c>
      <c r="L5" s="6">
        <v>0.19400000000000001</v>
      </c>
      <c r="M5" s="6">
        <v>0.19400000000000001</v>
      </c>
      <c r="N5" s="6">
        <v>0.19400000000000001</v>
      </c>
      <c r="O5" s="6">
        <v>0.19400000000000001</v>
      </c>
      <c r="P5" s="6">
        <v>1</v>
      </c>
      <c r="Q5" s="4" t="s">
        <v>26</v>
      </c>
      <c r="R5" s="4">
        <v>0</v>
      </c>
      <c r="S5" s="4">
        <v>0</v>
      </c>
      <c r="T5" s="4">
        <v>4</v>
      </c>
      <c r="U5" s="4">
        <v>54</v>
      </c>
      <c r="V5" s="6">
        <f>IF(ISERROR(VLOOKUP($S$5,'TAR FIN'!$A$1:$O$85,15,0)),0,VLOOKUP($S$5,'TAR FIN'!$A$1:$O$85,15,0))</f>
        <v>0</v>
      </c>
      <c r="W5" s="6">
        <f>IF(ISERROR(VLOOKUP($T$5,'TAR FIN'!$A$1:$O$85,15,0)),0,VLOOKUP($T$5,'TAR FIN'!$A$1:$O$85,15,0))</f>
        <v>55.3</v>
      </c>
      <c r="X5" s="6">
        <f>IF(ISERROR(VLOOKUP($U$5,'TAR FIN'!$A$1:$O$85,15,0)),0,VLOOKUP($U$5,'TAR FIN'!$A$1:$O$85,15,0))</f>
        <v>84.48</v>
      </c>
      <c r="Y5" s="6"/>
      <c r="Z5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5" s="6">
        <f>('TE BE'!$AB$11+'TE BF'!$AB$11+'TE CVA'!$AB$11)*(1-CUSTOS!$M$34)</f>
        <v>83.968904654609645</v>
      </c>
      <c r="AB5" s="6">
        <f t="shared" si="0"/>
        <v>0</v>
      </c>
      <c r="AC5" s="6">
        <f>(L5-M5)*(W5+X5)+($W$28+$X$28-$W$5-$X$5)*(L5)</f>
        <v>50.358519999999999</v>
      </c>
      <c r="AD5" s="6">
        <f t="shared" si="1"/>
        <v>0</v>
      </c>
      <c r="AE5" s="6">
        <f ca="1">(L5-M5)*(Z5+AA5)+($Z$28+$AA$28-$Z$5-$AA$5)*(L5)</f>
        <v>52.867851761273471</v>
      </c>
      <c r="AF5" s="4" t="s">
        <v>524</v>
      </c>
      <c r="AH5" s="35" t="s">
        <v>526</v>
      </c>
      <c r="AI5" s="36">
        <f t="shared" si="2"/>
        <v>356.24347499999999</v>
      </c>
      <c r="AJ5" s="36">
        <f t="shared" ca="1" si="3"/>
        <v>199.51320026662347</v>
      </c>
    </row>
    <row r="6" spans="1:36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27</v>
      </c>
      <c r="F6" s="4" t="s">
        <v>25</v>
      </c>
      <c r="G6" s="4" t="s">
        <v>25</v>
      </c>
      <c r="H6" s="4" t="s">
        <v>25</v>
      </c>
      <c r="I6" s="5">
        <v>44531</v>
      </c>
      <c r="J6" s="6">
        <v>0</v>
      </c>
      <c r="K6" s="6">
        <v>0</v>
      </c>
      <c r="L6" s="6">
        <v>0.19400000000000001</v>
      </c>
      <c r="M6" s="6">
        <v>0.19400000000000001</v>
      </c>
      <c r="N6" s="6">
        <v>0.19400000000000001</v>
      </c>
      <c r="O6" s="6">
        <v>0.19400000000000001</v>
      </c>
      <c r="P6" s="6">
        <v>1</v>
      </c>
      <c r="Q6" s="4" t="s">
        <v>26</v>
      </c>
      <c r="R6" s="4">
        <v>0</v>
      </c>
      <c r="S6" s="4">
        <v>0</v>
      </c>
      <c r="T6" s="4">
        <v>4</v>
      </c>
      <c r="U6" s="4">
        <v>54</v>
      </c>
      <c r="V6" s="6">
        <f>IF(ISERROR(VLOOKUP($S$6,'TAR FIN'!$A$1:$O$85,15,0)),0,VLOOKUP($S$6,'TAR FIN'!$A$1:$O$85,15,0))</f>
        <v>0</v>
      </c>
      <c r="W6" s="6">
        <f>IF(ISERROR(VLOOKUP($T$6,'TAR FIN'!$A$1:$O$85,15,0)),0,VLOOKUP($T$6,'TAR FIN'!$A$1:$O$85,15,0))</f>
        <v>55.3</v>
      </c>
      <c r="X6" s="6">
        <f>IF(ISERROR(VLOOKUP($U$6,'TAR FIN'!$A$1:$O$85,15,0)),0,VLOOKUP($U$6,'TAR FIN'!$A$1:$O$85,15,0))</f>
        <v>84.48</v>
      </c>
      <c r="Y6" s="6"/>
      <c r="Z6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6" s="6">
        <f>('TE BE'!$AB$11+'TE BF'!$AB$11+'TE CVA'!$AB$11)*(1-CUSTOS!$M$34)</f>
        <v>83.968904654609645</v>
      </c>
      <c r="AB6" s="6">
        <f t="shared" si="0"/>
        <v>0</v>
      </c>
      <c r="AC6" s="6">
        <f>(L6-M6)*(W6+X6)+($W$28+$X$28-$W$6-$X$6)*(L6)</f>
        <v>50.358519999999999</v>
      </c>
      <c r="AD6" s="6">
        <f t="shared" si="1"/>
        <v>0</v>
      </c>
      <c r="AE6" s="6">
        <f ca="1">(L6-M6)*(Z6+AA6)+($Z$28+$AA$28-$Z$6-$AA$6)*(L6)</f>
        <v>52.867851761273471</v>
      </c>
      <c r="AF6" s="4" t="s">
        <v>524</v>
      </c>
      <c r="AH6" s="35" t="s">
        <v>525</v>
      </c>
      <c r="AI6" s="36">
        <f t="shared" si="2"/>
        <v>37206.477000000006</v>
      </c>
      <c r="AJ6" s="36">
        <f t="shared" ca="1" si="3"/>
        <v>20837.387398931423</v>
      </c>
    </row>
    <row r="7" spans="1:36" ht="11.25" customHeight="1" x14ac:dyDescent="0.25">
      <c r="A7" s="4" t="s">
        <v>21</v>
      </c>
      <c r="B7" s="4" t="s">
        <v>22</v>
      </c>
      <c r="C7" s="4" t="s">
        <v>23</v>
      </c>
      <c r="D7" s="4" t="s">
        <v>24</v>
      </c>
      <c r="E7" s="4" t="s">
        <v>27</v>
      </c>
      <c r="F7" s="4" t="s">
        <v>25</v>
      </c>
      <c r="G7" s="4" t="s">
        <v>25</v>
      </c>
      <c r="H7" s="4" t="s">
        <v>25</v>
      </c>
      <c r="I7" s="5">
        <v>44562</v>
      </c>
      <c r="J7" s="6">
        <v>0</v>
      </c>
      <c r="K7" s="6">
        <v>0</v>
      </c>
      <c r="L7" s="6">
        <v>0.19600000000000001</v>
      </c>
      <c r="M7" s="6">
        <v>0.19600000000000001</v>
      </c>
      <c r="N7" s="6">
        <v>0.19600000000000001</v>
      </c>
      <c r="O7" s="6">
        <v>0.19600000000000001</v>
      </c>
      <c r="P7" s="6">
        <v>1</v>
      </c>
      <c r="Q7" s="4" t="s">
        <v>26</v>
      </c>
      <c r="R7" s="4">
        <v>0</v>
      </c>
      <c r="S7" s="4">
        <v>0</v>
      </c>
      <c r="T7" s="4">
        <v>4</v>
      </c>
      <c r="U7" s="4">
        <v>54</v>
      </c>
      <c r="V7" s="6">
        <f>IF(ISERROR(VLOOKUP($S$7,'TAR FIN'!$A$1:$O$85,15,0)),0,VLOOKUP($S$7,'TAR FIN'!$A$1:$O$85,15,0))</f>
        <v>0</v>
      </c>
      <c r="W7" s="6">
        <f>IF(ISERROR(VLOOKUP($T$7,'TAR FIN'!$A$1:$O$85,15,0)),0,VLOOKUP($T$7,'TAR FIN'!$A$1:$O$85,15,0))</f>
        <v>55.3</v>
      </c>
      <c r="X7" s="6">
        <f>IF(ISERROR(VLOOKUP($U$7,'TAR FIN'!$A$1:$O$85,15,0)),0,VLOOKUP($U$7,'TAR FIN'!$A$1:$O$85,15,0))</f>
        <v>84.48</v>
      </c>
      <c r="Y7" s="6"/>
      <c r="Z7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7" s="6">
        <f>('TE BE'!$AB$11+'TE BF'!$AB$11+'TE CVA'!$AB$11)*(1-CUSTOS!$M$34)</f>
        <v>83.968904654609645</v>
      </c>
      <c r="AB7" s="6">
        <f t="shared" si="0"/>
        <v>0</v>
      </c>
      <c r="AC7" s="6">
        <f>(L7-M7)*(W7+X7)+($W$28+$X$28-$W$7-$X$7)*(L7)</f>
        <v>50.877679999999998</v>
      </c>
      <c r="AD7" s="6">
        <f t="shared" si="1"/>
        <v>0</v>
      </c>
      <c r="AE7" s="6">
        <f ca="1">(L7-M7)*(Z7+AA7)+($Z$28+$AA$28-$Z$7-$AA$7)*(L7)</f>
        <v>53.412881160874228</v>
      </c>
      <c r="AF7" s="4" t="s">
        <v>524</v>
      </c>
      <c r="AH7" s="35" t="s">
        <v>532</v>
      </c>
      <c r="AI7" s="36">
        <f t="shared" si="2"/>
        <v>0</v>
      </c>
      <c r="AJ7" s="36">
        <f t="shared" si="3"/>
        <v>0</v>
      </c>
    </row>
    <row r="8" spans="1:36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27</v>
      </c>
      <c r="F8" s="4" t="s">
        <v>25</v>
      </c>
      <c r="G8" s="4" t="s">
        <v>25</v>
      </c>
      <c r="H8" s="4" t="s">
        <v>25</v>
      </c>
      <c r="I8" s="5">
        <v>44593</v>
      </c>
      <c r="J8" s="6">
        <v>0</v>
      </c>
      <c r="K8" s="6">
        <v>0</v>
      </c>
      <c r="L8" s="6">
        <v>0.33700000000000002</v>
      </c>
      <c r="M8" s="6">
        <v>0.33700000000000002</v>
      </c>
      <c r="N8" s="6">
        <v>0.33700000000000002</v>
      </c>
      <c r="O8" s="6">
        <v>0.33700000000000002</v>
      </c>
      <c r="P8" s="6">
        <v>1</v>
      </c>
      <c r="Q8" s="4" t="s">
        <v>26</v>
      </c>
      <c r="R8" s="4">
        <v>0</v>
      </c>
      <c r="S8" s="4">
        <v>0</v>
      </c>
      <c r="T8" s="4">
        <v>4</v>
      </c>
      <c r="U8" s="4">
        <v>54</v>
      </c>
      <c r="V8" s="6">
        <f>IF(ISERROR(VLOOKUP($S$8,'TAR FIN'!$A$1:$O$85,15,0)),0,VLOOKUP($S$8,'TAR FIN'!$A$1:$O$85,15,0))</f>
        <v>0</v>
      </c>
      <c r="W8" s="6">
        <f>IF(ISERROR(VLOOKUP($T$8,'TAR FIN'!$A$1:$O$85,15,0)),0,VLOOKUP($T$8,'TAR FIN'!$A$1:$O$85,15,0))</f>
        <v>55.3</v>
      </c>
      <c r="X8" s="6">
        <f>IF(ISERROR(VLOOKUP($U$8,'TAR FIN'!$A$1:$O$85,15,0)),0,VLOOKUP($U$8,'TAR FIN'!$A$1:$O$85,15,0))</f>
        <v>84.48</v>
      </c>
      <c r="Y8" s="6"/>
      <c r="Z8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8" s="6">
        <f>('TE BE'!$AB$11+'TE BF'!$AB$11+'TE CVA'!$AB$11)*(1-CUSTOS!$M$34)</f>
        <v>83.968904654609645</v>
      </c>
      <c r="AB8" s="6">
        <f t="shared" si="0"/>
        <v>0</v>
      </c>
      <c r="AC8" s="6">
        <f>(L8-M8)*(W8+X8)+($W$28+$X$28-$W$8-$X$8)*(L8)</f>
        <v>87.478459999999998</v>
      </c>
      <c r="AD8" s="6">
        <f t="shared" si="1"/>
        <v>0</v>
      </c>
      <c r="AE8" s="6">
        <f ca="1">(L8-M8)*(Z8+AA8)+($Z$28+$AA$28-$Z$8-$AA$8)*(L8)</f>
        <v>91.837453832727633</v>
      </c>
      <c r="AF8" s="4" t="s">
        <v>524</v>
      </c>
      <c r="AH8" s="35" t="s">
        <v>524</v>
      </c>
      <c r="AI8" s="36">
        <f t="shared" si="2"/>
        <v>1553.5465000000002</v>
      </c>
      <c r="AJ8" s="36">
        <f t="shared" ca="1" si="3"/>
        <v>1630.916627628405</v>
      </c>
    </row>
    <row r="9" spans="1:36" ht="11.25" customHeight="1" x14ac:dyDescent="0.25">
      <c r="A9" s="4" t="s">
        <v>21</v>
      </c>
      <c r="B9" s="4" t="s">
        <v>22</v>
      </c>
      <c r="C9" s="4" t="s">
        <v>23</v>
      </c>
      <c r="D9" s="4" t="s">
        <v>24</v>
      </c>
      <c r="E9" s="4" t="s">
        <v>27</v>
      </c>
      <c r="F9" s="4" t="s">
        <v>25</v>
      </c>
      <c r="G9" s="4" t="s">
        <v>25</v>
      </c>
      <c r="H9" s="4" t="s">
        <v>25</v>
      </c>
      <c r="I9" s="5">
        <v>44621</v>
      </c>
      <c r="J9" s="6">
        <v>0</v>
      </c>
      <c r="K9" s="6">
        <v>0</v>
      </c>
      <c r="L9" s="6">
        <v>0.33</v>
      </c>
      <c r="M9" s="6">
        <v>0.33</v>
      </c>
      <c r="N9" s="6">
        <v>0.33</v>
      </c>
      <c r="O9" s="6">
        <v>0.33</v>
      </c>
      <c r="P9" s="6">
        <v>1</v>
      </c>
      <c r="Q9" s="4" t="s">
        <v>26</v>
      </c>
      <c r="R9" s="4">
        <v>0</v>
      </c>
      <c r="S9" s="4">
        <v>0</v>
      </c>
      <c r="T9" s="4">
        <v>4</v>
      </c>
      <c r="U9" s="4">
        <v>54</v>
      </c>
      <c r="V9" s="6">
        <f>IF(ISERROR(VLOOKUP($S$9,'TAR FIN'!$A$1:$O$85,15,0)),0,VLOOKUP($S$9,'TAR FIN'!$A$1:$O$85,15,0))</f>
        <v>0</v>
      </c>
      <c r="W9" s="6">
        <f>IF(ISERROR(VLOOKUP($T$9,'TAR FIN'!$A$1:$O$85,15,0)),0,VLOOKUP($T$9,'TAR FIN'!$A$1:$O$85,15,0))</f>
        <v>55.3</v>
      </c>
      <c r="X9" s="6">
        <f>IF(ISERROR(VLOOKUP($U$9,'TAR FIN'!$A$1:$O$85,15,0)),0,VLOOKUP($U$9,'TAR FIN'!$A$1:$O$85,15,0))</f>
        <v>84.48</v>
      </c>
      <c r="Y9" s="6"/>
      <c r="Z9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9" s="6">
        <f>('TE BE'!$AB$11+'TE BF'!$AB$11+'TE CVA'!$AB$11)*(1-CUSTOS!$M$34)</f>
        <v>83.968904654609645</v>
      </c>
      <c r="AB9" s="6">
        <f t="shared" si="0"/>
        <v>0</v>
      </c>
      <c r="AC9" s="6">
        <f>(L9-M9)*(W9+X9)+($W$28+$X$28-$W$9-$X$9)*(L9)</f>
        <v>85.6614</v>
      </c>
      <c r="AD9" s="6">
        <f t="shared" si="1"/>
        <v>0</v>
      </c>
      <c r="AE9" s="6">
        <f ca="1">(L9-M9)*(Z9+AA9)+($Z$28+$AA$28-$Z$9-$AA$9)*(L9)</f>
        <v>89.929850934124971</v>
      </c>
      <c r="AF9" s="4" t="s">
        <v>524</v>
      </c>
      <c r="AH9" s="35" t="s">
        <v>533</v>
      </c>
      <c r="AI9" s="36">
        <f t="shared" si="2"/>
        <v>0</v>
      </c>
      <c r="AJ9" s="36">
        <f t="shared" si="3"/>
        <v>0</v>
      </c>
    </row>
    <row r="10" spans="1:36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27</v>
      </c>
      <c r="F10" s="4" t="s">
        <v>25</v>
      </c>
      <c r="G10" s="4" t="s">
        <v>25</v>
      </c>
      <c r="H10" s="4" t="s">
        <v>25</v>
      </c>
      <c r="I10" s="5">
        <v>44652</v>
      </c>
      <c r="J10" s="6">
        <v>0</v>
      </c>
      <c r="K10" s="6">
        <v>0</v>
      </c>
      <c r="L10" s="6">
        <v>0.33</v>
      </c>
      <c r="M10" s="6">
        <v>0.33</v>
      </c>
      <c r="N10" s="6">
        <v>0.33</v>
      </c>
      <c r="O10" s="6">
        <v>0.33</v>
      </c>
      <c r="P10" s="6">
        <v>1</v>
      </c>
      <c r="Q10" s="4" t="s">
        <v>26</v>
      </c>
      <c r="R10" s="4">
        <v>0</v>
      </c>
      <c r="S10" s="4">
        <v>0</v>
      </c>
      <c r="T10" s="4">
        <v>4</v>
      </c>
      <c r="U10" s="4">
        <v>54</v>
      </c>
      <c r="V10" s="6">
        <f>IF(ISERROR(VLOOKUP($S$10,'TAR FIN'!$A$1:$O$85,15,0)),0,VLOOKUP($S$10,'TAR FIN'!$A$1:$O$85,15,0))</f>
        <v>0</v>
      </c>
      <c r="W10" s="6">
        <f>IF(ISERROR(VLOOKUP($T$10,'TAR FIN'!$A$1:$O$85,15,0)),0,VLOOKUP($T$10,'TAR FIN'!$A$1:$O$85,15,0))</f>
        <v>55.3</v>
      </c>
      <c r="X10" s="6">
        <f>IF(ISERROR(VLOOKUP($U$10,'TAR FIN'!$A$1:$O$85,15,0)),0,VLOOKUP($U$10,'TAR FIN'!$A$1:$O$85,15,0))</f>
        <v>84.48</v>
      </c>
      <c r="Y10" s="6"/>
      <c r="Z10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10" s="6">
        <f>('TE BE'!$AB$11+'TE BF'!$AB$11+'TE CVA'!$AB$11)*(1-CUSTOS!$M$34)</f>
        <v>83.968904654609645</v>
      </c>
      <c r="AB10" s="6">
        <f t="shared" si="0"/>
        <v>0</v>
      </c>
      <c r="AC10" s="6">
        <f>(L10-M10)*(W10+X10)+($W$28+$X$28-$W$10-$X$10)*(L10)</f>
        <v>85.6614</v>
      </c>
      <c r="AD10" s="6">
        <f t="shared" si="1"/>
        <v>0</v>
      </c>
      <c r="AE10" s="6">
        <f ca="1">(L10-M10)*(Z10+AA10)+($Z$28+$AA$28-$Z$10-$AA$10)*(L10)</f>
        <v>89.929850934124971</v>
      </c>
      <c r="AF10" s="4" t="s">
        <v>524</v>
      </c>
    </row>
    <row r="11" spans="1:36" ht="11.25" customHeight="1" x14ac:dyDescent="0.25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27</v>
      </c>
      <c r="F11" s="4" t="s">
        <v>25</v>
      </c>
      <c r="G11" s="4" t="s">
        <v>25</v>
      </c>
      <c r="H11" s="4" t="s">
        <v>25</v>
      </c>
      <c r="I11" s="5">
        <v>44682</v>
      </c>
      <c r="J11" s="6">
        <v>0</v>
      </c>
      <c r="K11" s="6">
        <v>0</v>
      </c>
      <c r="L11" s="6">
        <v>0.33</v>
      </c>
      <c r="M11" s="6">
        <v>0.33</v>
      </c>
      <c r="N11" s="6">
        <v>0.33</v>
      </c>
      <c r="O11" s="6">
        <v>0.33</v>
      </c>
      <c r="P11" s="6">
        <v>1</v>
      </c>
      <c r="Q11" s="4" t="s">
        <v>26</v>
      </c>
      <c r="R11" s="4">
        <v>0</v>
      </c>
      <c r="S11" s="4">
        <v>0</v>
      </c>
      <c r="T11" s="4">
        <v>4</v>
      </c>
      <c r="U11" s="4">
        <v>54</v>
      </c>
      <c r="V11" s="6">
        <f>IF(ISERROR(VLOOKUP($S$11,'TAR FIN'!$A$1:$O$85,15,0)),0,VLOOKUP($S$11,'TAR FIN'!$A$1:$O$85,15,0))</f>
        <v>0</v>
      </c>
      <c r="W11" s="6">
        <f>IF(ISERROR(VLOOKUP($T$11,'TAR FIN'!$A$1:$O$85,15,0)),0,VLOOKUP($T$11,'TAR FIN'!$A$1:$O$85,15,0))</f>
        <v>55.3</v>
      </c>
      <c r="X11" s="6">
        <f>IF(ISERROR(VLOOKUP($U$11,'TAR FIN'!$A$1:$O$85,15,0)),0,VLOOKUP($U$11,'TAR FIN'!$A$1:$O$85,15,0))</f>
        <v>84.48</v>
      </c>
      <c r="Y11" s="6"/>
      <c r="Z11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11" s="6">
        <f>('TE BE'!$AB$11+'TE BF'!$AB$11+'TE CVA'!$AB$11)*(1-CUSTOS!$M$34)</f>
        <v>83.968904654609645</v>
      </c>
      <c r="AB11" s="6">
        <f t="shared" si="0"/>
        <v>0</v>
      </c>
      <c r="AC11" s="6">
        <f>(L11-M11)*(W11+X11)+($W$28+$X$28-$W$11-$X$11)*(L11)</f>
        <v>85.6614</v>
      </c>
      <c r="AD11" s="6">
        <f t="shared" si="1"/>
        <v>0</v>
      </c>
      <c r="AE11" s="6">
        <f ca="1">(L11-M11)*(Z11+AA11)+($Z$28+$AA$28-$Z$11-$AA$11)*(L11)</f>
        <v>89.929850934124971</v>
      </c>
      <c r="AF11" s="4" t="s">
        <v>524</v>
      </c>
    </row>
    <row r="12" spans="1:36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27</v>
      </c>
      <c r="F12" s="4" t="s">
        <v>25</v>
      </c>
      <c r="G12" s="4" t="s">
        <v>25</v>
      </c>
      <c r="H12" s="4" t="s">
        <v>25</v>
      </c>
      <c r="I12" s="5">
        <v>44713</v>
      </c>
      <c r="J12" s="6">
        <v>0</v>
      </c>
      <c r="K12" s="6">
        <v>0</v>
      </c>
      <c r="L12" s="6">
        <v>0.33</v>
      </c>
      <c r="M12" s="6">
        <v>0.33</v>
      </c>
      <c r="N12" s="6">
        <v>0.33</v>
      </c>
      <c r="O12" s="6">
        <v>0.33</v>
      </c>
      <c r="P12" s="6">
        <v>1</v>
      </c>
      <c r="Q12" s="4" t="s">
        <v>26</v>
      </c>
      <c r="R12" s="4">
        <v>0</v>
      </c>
      <c r="S12" s="4">
        <v>0</v>
      </c>
      <c r="T12" s="4">
        <v>4</v>
      </c>
      <c r="U12" s="4">
        <v>54</v>
      </c>
      <c r="V12" s="6">
        <f>IF(ISERROR(VLOOKUP($S$12,'TAR FIN'!$A$1:$O$85,15,0)),0,VLOOKUP($S$12,'TAR FIN'!$A$1:$O$85,15,0))</f>
        <v>0</v>
      </c>
      <c r="W12" s="6">
        <f>IF(ISERROR(VLOOKUP($T$12,'TAR FIN'!$A$1:$O$85,15,0)),0,VLOOKUP($T$12,'TAR FIN'!$A$1:$O$85,15,0))</f>
        <v>55.3</v>
      </c>
      <c r="X12" s="6">
        <f>IF(ISERROR(VLOOKUP($U$12,'TAR FIN'!$A$1:$O$85,15,0)),0,VLOOKUP($U$12,'TAR FIN'!$A$1:$O$85,15,0))</f>
        <v>84.48</v>
      </c>
      <c r="Y12" s="6"/>
      <c r="Z12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12" s="6">
        <f>('TE BE'!$AB$11+'TE BF'!$AB$11+'TE CVA'!$AB$11)*(1-CUSTOS!$M$34)</f>
        <v>83.968904654609645</v>
      </c>
      <c r="AB12" s="6">
        <f t="shared" si="0"/>
        <v>0</v>
      </c>
      <c r="AC12" s="6">
        <f>(L12-M12)*(W12+X12)+($W$28+$X$28-$W$12-$X$12)*(L12)</f>
        <v>85.6614</v>
      </c>
      <c r="AD12" s="6">
        <f t="shared" si="1"/>
        <v>0</v>
      </c>
      <c r="AE12" s="6">
        <f ca="1">(L12-M12)*(Z12+AA12)+($Z$28+$AA$28-$Z$12-$AA$12)*(L12)</f>
        <v>89.929850934124971</v>
      </c>
      <c r="AF12" s="4" t="s">
        <v>524</v>
      </c>
      <c r="AJ12" s="6">
        <f ca="1">SUM(AJ2:AJ9)</f>
        <v>22667.817226826453</v>
      </c>
    </row>
    <row r="13" spans="1:36" ht="11.25" customHeight="1" x14ac:dyDescent="0.25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27</v>
      </c>
      <c r="F13" s="4" t="s">
        <v>25</v>
      </c>
      <c r="G13" s="4" t="s">
        <v>25</v>
      </c>
      <c r="H13" s="4" t="s">
        <v>25</v>
      </c>
      <c r="I13" s="5">
        <v>44743</v>
      </c>
      <c r="J13" s="6">
        <v>0</v>
      </c>
      <c r="K13" s="6">
        <v>0</v>
      </c>
      <c r="L13" s="6">
        <v>0.33</v>
      </c>
      <c r="M13" s="6">
        <v>0.33</v>
      </c>
      <c r="N13" s="6">
        <v>0.33</v>
      </c>
      <c r="O13" s="6">
        <v>0.33</v>
      </c>
      <c r="P13" s="6">
        <v>1</v>
      </c>
      <c r="Q13" s="4" t="s">
        <v>26</v>
      </c>
      <c r="R13" s="4">
        <v>0</v>
      </c>
      <c r="S13" s="4">
        <v>0</v>
      </c>
      <c r="T13" s="4">
        <v>4</v>
      </c>
      <c r="U13" s="4">
        <v>54</v>
      </c>
      <c r="V13" s="6">
        <f>IF(ISERROR(VLOOKUP($S$13,'TAR FIN'!$A$1:$O$85,15,0)),0,VLOOKUP($S$13,'TAR FIN'!$A$1:$O$85,15,0))</f>
        <v>0</v>
      </c>
      <c r="W13" s="6">
        <f>IF(ISERROR(VLOOKUP($T$13,'TAR FIN'!$A$1:$O$85,15,0)),0,VLOOKUP($T$13,'TAR FIN'!$A$1:$O$85,15,0))</f>
        <v>55.3</v>
      </c>
      <c r="X13" s="6">
        <f>IF(ISERROR(VLOOKUP($U$13,'TAR FIN'!$A$1:$O$85,15,0)),0,VLOOKUP($U$13,'TAR FIN'!$A$1:$O$85,15,0))</f>
        <v>84.48</v>
      </c>
      <c r="Y13" s="6"/>
      <c r="Z13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13" s="6">
        <f>('TE BE'!$AB$11+'TE BF'!$AB$11+'TE CVA'!$AB$11)*(1-CUSTOS!$M$34)</f>
        <v>83.968904654609645</v>
      </c>
      <c r="AB13" s="6">
        <f t="shared" si="0"/>
        <v>0</v>
      </c>
      <c r="AC13" s="6">
        <f>(L13-M13)*(W13+X13)+($W$28+$X$28-$W$13-$X$13)*(L13)</f>
        <v>85.6614</v>
      </c>
      <c r="AD13" s="6">
        <f t="shared" si="1"/>
        <v>0</v>
      </c>
      <c r="AE13" s="6">
        <f ca="1">(L13-M13)*(Z13+AA13)+($Z$28+$AA$28-$Z$13-$AA$13)*(L13)</f>
        <v>89.929850934124971</v>
      </c>
      <c r="AF13" s="4" t="s">
        <v>524</v>
      </c>
    </row>
    <row r="14" spans="1:36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27</v>
      </c>
      <c r="F14" s="4" t="s">
        <v>25</v>
      </c>
      <c r="G14" s="4" t="s">
        <v>25</v>
      </c>
      <c r="H14" s="4" t="s">
        <v>25</v>
      </c>
      <c r="I14" s="5">
        <v>44774</v>
      </c>
      <c r="J14" s="6">
        <v>0</v>
      </c>
      <c r="K14" s="6">
        <v>0</v>
      </c>
      <c r="L14" s="6">
        <v>0.185</v>
      </c>
      <c r="M14" s="6">
        <v>0.185</v>
      </c>
      <c r="N14" s="6">
        <v>0.185</v>
      </c>
      <c r="O14" s="6">
        <v>0.185</v>
      </c>
      <c r="P14" s="6">
        <v>1</v>
      </c>
      <c r="Q14" s="4" t="s">
        <v>26</v>
      </c>
      <c r="R14" s="4">
        <v>0</v>
      </c>
      <c r="S14" s="4">
        <v>0</v>
      </c>
      <c r="T14" s="4">
        <v>4</v>
      </c>
      <c r="U14" s="4">
        <v>54</v>
      </c>
      <c r="V14" s="6">
        <f>IF(ISERROR(VLOOKUP($S$14,'TAR FIN'!$A$1:$O$85,15,0)),0,VLOOKUP($S$14,'TAR FIN'!$A$1:$O$85,15,0))</f>
        <v>0</v>
      </c>
      <c r="W14" s="6">
        <f>IF(ISERROR(VLOOKUP($T$14,'TAR FIN'!$A$1:$O$85,15,0)),0,VLOOKUP($T$14,'TAR FIN'!$A$1:$O$85,15,0))</f>
        <v>55.3</v>
      </c>
      <c r="X14" s="6">
        <f>IF(ISERROR(VLOOKUP($U$14,'TAR FIN'!$A$1:$O$85,15,0)),0,VLOOKUP($U$14,'TAR FIN'!$A$1:$O$85,15,0))</f>
        <v>84.48</v>
      </c>
      <c r="Y14" s="6"/>
      <c r="Z14" s="6">
        <f ca="1">('TUSD BE'!$AM$21+'TUSD BF'!$AM$21+'TUSD CVA'!$AM$21-('TUSD BE'!$P$21+'TUSD BF'!$P$21+'TUSD CVA'!$P$21)-('TUSD BE'!$Q$21+'TUSD BF'!$Q$21+'TUSD CVA'!$Q$21)-('TUSD BE'!$R$21+'TUSD BF'!$R$21+'TUSD CVA'!$R$21))*(1-CUSTOS!$M$34)</f>
        <v>62.769779853286586</v>
      </c>
      <c r="AA14" s="6">
        <f>('TE BE'!$AB$11+'TE BF'!$AB$11+'TE CVA'!$AB$11)*(1-CUSTOS!$M$34)</f>
        <v>83.968904654609645</v>
      </c>
      <c r="AB14" s="6">
        <f t="shared" si="0"/>
        <v>0</v>
      </c>
      <c r="AC14" s="6">
        <f>(L14-M14)*(W14+X14)+($W$28+$X$28-$W$14-$X$14)*(L14)</f>
        <v>48.022299999999994</v>
      </c>
      <c r="AD14" s="6">
        <f t="shared" si="1"/>
        <v>0</v>
      </c>
      <c r="AE14" s="6">
        <f ca="1">(L14-M14)*(Z14+AA14)+($Z$28+$AA$28-$Z$14-$AA$14)*(L14)</f>
        <v>50.415219463070059</v>
      </c>
      <c r="AF14" s="4" t="s">
        <v>524</v>
      </c>
    </row>
    <row r="15" spans="1:36" ht="11.25" customHeight="1" x14ac:dyDescent="0.25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28</v>
      </c>
      <c r="F15" s="4" t="s">
        <v>25</v>
      </c>
      <c r="G15" s="4" t="s">
        <v>25</v>
      </c>
      <c r="H15" s="4" t="s">
        <v>25</v>
      </c>
      <c r="I15" s="5">
        <v>44440</v>
      </c>
      <c r="J15" s="6">
        <v>0</v>
      </c>
      <c r="K15" s="6">
        <v>0</v>
      </c>
      <c r="L15" s="6">
        <v>8.5999999999999993E-2</v>
      </c>
      <c r="M15" s="6">
        <v>8.5999999999999993E-2</v>
      </c>
      <c r="N15" s="6">
        <v>8.5999999999999993E-2</v>
      </c>
      <c r="O15" s="6">
        <v>8.5999999999999993E-2</v>
      </c>
      <c r="P15" s="6">
        <v>1</v>
      </c>
      <c r="Q15" s="4" t="s">
        <v>26</v>
      </c>
      <c r="R15" s="4">
        <v>0</v>
      </c>
      <c r="S15" s="4">
        <v>0</v>
      </c>
      <c r="T15" s="4">
        <v>26</v>
      </c>
      <c r="U15" s="4">
        <v>64</v>
      </c>
      <c r="V15" s="6">
        <f>IF(ISERROR(VLOOKUP($S$15,'TAR FIN'!$A$1:$O$85,15,0)),0,VLOOKUP($S$15,'TAR FIN'!$A$1:$O$85,15,0))</f>
        <v>0</v>
      </c>
      <c r="W15" s="6">
        <f>IF(ISERROR(VLOOKUP($T$15,'TAR FIN'!$A$1:$O$85,15,0)),0,VLOOKUP($T$15,'TAR FIN'!$A$1:$O$85,15,0))</f>
        <v>94.79</v>
      </c>
      <c r="X15" s="6">
        <f>IF(ISERROR(VLOOKUP($U$15,'TAR FIN'!$A$1:$O$85,15,0)),0,VLOOKUP($U$15,'TAR FIN'!$A$1:$O$85,15,0))</f>
        <v>144.82</v>
      </c>
      <c r="Y15" s="6"/>
      <c r="Z15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15" s="6">
        <f>('TE BE'!$AB$12+'TE BF'!$AB$12+'TE CVA'!$AB$12)*(1-CUSTOS!$M$35)</f>
        <v>143.94669369361654</v>
      </c>
      <c r="AB15" s="6">
        <f t="shared" si="0"/>
        <v>0</v>
      </c>
      <c r="AC15" s="6">
        <f>(L15-M15)*(W15+X15)+($W$28+$X$28-$W$15-$X$15)*(L15)</f>
        <v>13.738499999999998</v>
      </c>
      <c r="AD15" s="6">
        <f t="shared" si="1"/>
        <v>0</v>
      </c>
      <c r="AE15" s="6">
        <f ca="1">(L15-M15)*(Z15+AA15)+($Z$28+$AA$28-$Z$15-$AA$15)*(L15)</f>
        <v>14.422316420204659</v>
      </c>
      <c r="AF15" s="4" t="s">
        <v>524</v>
      </c>
    </row>
    <row r="16" spans="1:36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28</v>
      </c>
      <c r="F16" s="4" t="s">
        <v>25</v>
      </c>
      <c r="G16" s="4" t="s">
        <v>25</v>
      </c>
      <c r="H16" s="4" t="s">
        <v>25</v>
      </c>
      <c r="I16" s="5">
        <v>44470</v>
      </c>
      <c r="J16" s="6">
        <v>0</v>
      </c>
      <c r="K16" s="6">
        <v>0</v>
      </c>
      <c r="L16" s="6">
        <v>0.44600000000000001</v>
      </c>
      <c r="M16" s="6">
        <v>0.44600000000000001</v>
      </c>
      <c r="N16" s="6">
        <v>0.44600000000000001</v>
      </c>
      <c r="O16" s="6">
        <v>0.44600000000000001</v>
      </c>
      <c r="P16" s="6">
        <v>1</v>
      </c>
      <c r="Q16" s="4" t="s">
        <v>26</v>
      </c>
      <c r="R16" s="4">
        <v>0</v>
      </c>
      <c r="S16" s="4">
        <v>0</v>
      </c>
      <c r="T16" s="4">
        <v>26</v>
      </c>
      <c r="U16" s="4">
        <v>64</v>
      </c>
      <c r="V16" s="6">
        <f>IF(ISERROR(VLOOKUP($S$16,'TAR FIN'!$A$1:$O$85,15,0)),0,VLOOKUP($S$16,'TAR FIN'!$A$1:$O$85,15,0))</f>
        <v>0</v>
      </c>
      <c r="W16" s="6">
        <f>IF(ISERROR(VLOOKUP($T$16,'TAR FIN'!$A$1:$O$85,15,0)),0,VLOOKUP($T$16,'TAR FIN'!$A$1:$O$85,15,0))</f>
        <v>94.79</v>
      </c>
      <c r="X16" s="6">
        <f>IF(ISERROR(VLOOKUP($U$16,'TAR FIN'!$A$1:$O$85,15,0)),0,VLOOKUP($U$16,'TAR FIN'!$A$1:$O$85,15,0))</f>
        <v>144.82</v>
      </c>
      <c r="Y16" s="6"/>
      <c r="Z16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16" s="6">
        <f>('TE BE'!$AB$12+'TE BF'!$AB$12+'TE CVA'!$AB$12)*(1-CUSTOS!$M$35)</f>
        <v>143.94669369361654</v>
      </c>
      <c r="AB16" s="6">
        <f t="shared" si="0"/>
        <v>0</v>
      </c>
      <c r="AC16" s="6">
        <f>(L16-M16)*(W16+X16)+($W$28+$X$28-$W$16-$X$16)*(L16)</f>
        <v>71.248500000000007</v>
      </c>
      <c r="AD16" s="6">
        <f t="shared" si="1"/>
        <v>0</v>
      </c>
      <c r="AE16" s="6">
        <f ca="1">(L16-M16)*(Z16+AA16)+($Z$28+$AA$28-$Z$16-$AA$16)*(L16)</f>
        <v>74.794803760596267</v>
      </c>
      <c r="AF16" s="4" t="s">
        <v>524</v>
      </c>
    </row>
    <row r="17" spans="1:32" ht="11.25" customHeight="1" x14ac:dyDescent="0.25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28</v>
      </c>
      <c r="F17" s="4" t="s">
        <v>25</v>
      </c>
      <c r="G17" s="4" t="s">
        <v>25</v>
      </c>
      <c r="H17" s="4" t="s">
        <v>25</v>
      </c>
      <c r="I17" s="5">
        <v>44501</v>
      </c>
      <c r="J17" s="6">
        <v>0</v>
      </c>
      <c r="K17" s="6">
        <v>0</v>
      </c>
      <c r="L17" s="6">
        <v>0.36399999999999999</v>
      </c>
      <c r="M17" s="6">
        <v>0.36399999999999999</v>
      </c>
      <c r="N17" s="6">
        <v>0.36399999999999999</v>
      </c>
      <c r="O17" s="6">
        <v>0.36399999999999999</v>
      </c>
      <c r="P17" s="6">
        <v>1</v>
      </c>
      <c r="Q17" s="4" t="s">
        <v>26</v>
      </c>
      <c r="R17" s="4">
        <v>0</v>
      </c>
      <c r="S17" s="4">
        <v>0</v>
      </c>
      <c r="T17" s="4">
        <v>26</v>
      </c>
      <c r="U17" s="4">
        <v>64</v>
      </c>
      <c r="V17" s="6">
        <f>IF(ISERROR(VLOOKUP($S$17,'TAR FIN'!$A$1:$O$85,15,0)),0,VLOOKUP($S$17,'TAR FIN'!$A$1:$O$85,15,0))</f>
        <v>0</v>
      </c>
      <c r="W17" s="6">
        <f>IF(ISERROR(VLOOKUP($T$17,'TAR FIN'!$A$1:$O$85,15,0)),0,VLOOKUP($T$17,'TAR FIN'!$A$1:$O$85,15,0))</f>
        <v>94.79</v>
      </c>
      <c r="X17" s="6">
        <f>IF(ISERROR(VLOOKUP($U$17,'TAR FIN'!$A$1:$O$85,15,0)),0,VLOOKUP($U$17,'TAR FIN'!$A$1:$O$85,15,0))</f>
        <v>144.82</v>
      </c>
      <c r="Y17" s="6"/>
      <c r="Z17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17" s="6">
        <f>('TE BE'!$AB$12+'TE BF'!$AB$12+'TE CVA'!$AB$12)*(1-CUSTOS!$M$35)</f>
        <v>143.94669369361654</v>
      </c>
      <c r="AB17" s="6">
        <f t="shared" si="0"/>
        <v>0</v>
      </c>
      <c r="AC17" s="6">
        <f>(L17-M17)*(W17+X17)+($W$28+$X$28-$W$17-$X$17)*(L17)</f>
        <v>58.149000000000001</v>
      </c>
      <c r="AD17" s="6">
        <f t="shared" si="1"/>
        <v>0</v>
      </c>
      <c r="AE17" s="6">
        <f ca="1">(L17-M17)*(Z17+AA17)+($Z$28+$AA$28-$Z$17-$AA$17)*(L17)</f>
        <v>61.043292755284838</v>
      </c>
      <c r="AF17" s="4" t="s">
        <v>524</v>
      </c>
    </row>
    <row r="18" spans="1:32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28</v>
      </c>
      <c r="F18" s="4" t="s">
        <v>25</v>
      </c>
      <c r="G18" s="4" t="s">
        <v>25</v>
      </c>
      <c r="H18" s="4" t="s">
        <v>25</v>
      </c>
      <c r="I18" s="5">
        <v>44531</v>
      </c>
      <c r="J18" s="6">
        <v>0</v>
      </c>
      <c r="K18" s="6">
        <v>0</v>
      </c>
      <c r="L18" s="6">
        <v>0.32400000000000001</v>
      </c>
      <c r="M18" s="6">
        <v>0.32400000000000001</v>
      </c>
      <c r="N18" s="6">
        <v>0.32400000000000001</v>
      </c>
      <c r="O18" s="6">
        <v>0.32400000000000001</v>
      </c>
      <c r="P18" s="6">
        <v>1</v>
      </c>
      <c r="Q18" s="4" t="s">
        <v>26</v>
      </c>
      <c r="R18" s="4">
        <v>0</v>
      </c>
      <c r="S18" s="4">
        <v>0</v>
      </c>
      <c r="T18" s="4">
        <v>26</v>
      </c>
      <c r="U18" s="4">
        <v>64</v>
      </c>
      <c r="V18" s="6">
        <f>IF(ISERROR(VLOOKUP($S$18,'TAR FIN'!$A$1:$O$85,15,0)),0,VLOOKUP($S$18,'TAR FIN'!$A$1:$O$85,15,0))</f>
        <v>0</v>
      </c>
      <c r="W18" s="6">
        <f>IF(ISERROR(VLOOKUP($T$18,'TAR FIN'!$A$1:$O$85,15,0)),0,VLOOKUP($T$18,'TAR FIN'!$A$1:$O$85,15,0))</f>
        <v>94.79</v>
      </c>
      <c r="X18" s="6">
        <f>IF(ISERROR(VLOOKUP($U$18,'TAR FIN'!$A$1:$O$85,15,0)),0,VLOOKUP($U$18,'TAR FIN'!$A$1:$O$85,15,0))</f>
        <v>144.82</v>
      </c>
      <c r="Y18" s="6"/>
      <c r="Z18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18" s="6">
        <f>('TE BE'!$AB$12+'TE BF'!$AB$12+'TE CVA'!$AB$12)*(1-CUSTOS!$M$35)</f>
        <v>143.94669369361654</v>
      </c>
      <c r="AB18" s="6">
        <f t="shared" si="0"/>
        <v>0</v>
      </c>
      <c r="AC18" s="6">
        <f>(L18-M18)*(W18+X18)+($W$28+$X$28-$W$18-$X$18)*(L18)</f>
        <v>51.759</v>
      </c>
      <c r="AD18" s="6">
        <f t="shared" si="1"/>
        <v>0</v>
      </c>
      <c r="AE18" s="6">
        <f ca="1">(L18-M18)*(Z18+AA18)+($Z$28+$AA$28-$Z$18-$AA$18)*(L18)</f>
        <v>54.335238606352441</v>
      </c>
      <c r="AF18" s="4" t="s">
        <v>524</v>
      </c>
    </row>
    <row r="19" spans="1:32" ht="11.25" customHeight="1" x14ac:dyDescent="0.25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28</v>
      </c>
      <c r="F19" s="4" t="s">
        <v>25</v>
      </c>
      <c r="G19" s="4" t="s">
        <v>25</v>
      </c>
      <c r="H19" s="4" t="s">
        <v>25</v>
      </c>
      <c r="I19" s="5">
        <v>44562</v>
      </c>
      <c r="J19" s="6">
        <v>0</v>
      </c>
      <c r="K19" s="6">
        <v>0</v>
      </c>
      <c r="L19" s="6">
        <v>0.49199999999999999</v>
      </c>
      <c r="M19" s="6">
        <v>0.49199999999999999</v>
      </c>
      <c r="N19" s="6">
        <v>0.49199999999999999</v>
      </c>
      <c r="O19" s="6">
        <v>0.49199999999999999</v>
      </c>
      <c r="P19" s="6">
        <v>1</v>
      </c>
      <c r="Q19" s="4" t="s">
        <v>26</v>
      </c>
      <c r="R19" s="4">
        <v>0</v>
      </c>
      <c r="S19" s="4">
        <v>0</v>
      </c>
      <c r="T19" s="4">
        <v>26</v>
      </c>
      <c r="U19" s="4">
        <v>64</v>
      </c>
      <c r="V19" s="6">
        <f>IF(ISERROR(VLOOKUP($S$19,'TAR FIN'!$A$1:$O$85,15,0)),0,VLOOKUP($S$19,'TAR FIN'!$A$1:$O$85,15,0))</f>
        <v>0</v>
      </c>
      <c r="W19" s="6">
        <f>IF(ISERROR(VLOOKUP($T$19,'TAR FIN'!$A$1:$O$85,15,0)),0,VLOOKUP($T$19,'TAR FIN'!$A$1:$O$85,15,0))</f>
        <v>94.79</v>
      </c>
      <c r="X19" s="6">
        <f>IF(ISERROR(VLOOKUP($U$19,'TAR FIN'!$A$1:$O$85,15,0)),0,VLOOKUP($U$19,'TAR FIN'!$A$1:$O$85,15,0))</f>
        <v>144.82</v>
      </c>
      <c r="Y19" s="6"/>
      <c r="Z19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19" s="6">
        <f>('TE BE'!$AB$12+'TE BF'!$AB$12+'TE CVA'!$AB$12)*(1-CUSTOS!$M$35)</f>
        <v>143.94669369361654</v>
      </c>
      <c r="AB19" s="6">
        <f t="shared" si="0"/>
        <v>0</v>
      </c>
      <c r="AC19" s="6">
        <f>(L19-M19)*(W19+X19)+($W$28+$X$28-$W$19-$X$19)*(L19)</f>
        <v>78.596999999999994</v>
      </c>
      <c r="AD19" s="6">
        <f t="shared" si="1"/>
        <v>0</v>
      </c>
      <c r="AE19" s="6">
        <f ca="1">(L19-M19)*(Z19+AA19)+($Z$28+$AA$28-$Z$19-$AA$19)*(L19)</f>
        <v>82.509066031868528</v>
      </c>
      <c r="AF19" s="4" t="s">
        <v>524</v>
      </c>
    </row>
    <row r="20" spans="1:32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28</v>
      </c>
      <c r="F20" s="4" t="s">
        <v>25</v>
      </c>
      <c r="G20" s="4" t="s">
        <v>25</v>
      </c>
      <c r="H20" s="4" t="s">
        <v>25</v>
      </c>
      <c r="I20" s="5">
        <v>44593</v>
      </c>
      <c r="J20" s="6">
        <v>0</v>
      </c>
      <c r="K20" s="6">
        <v>0</v>
      </c>
      <c r="L20" s="6">
        <v>0.56599999999999995</v>
      </c>
      <c r="M20" s="6">
        <v>0.56599999999999995</v>
      </c>
      <c r="N20" s="6">
        <v>0.56599999999999995</v>
      </c>
      <c r="O20" s="6">
        <v>0.56599999999999995</v>
      </c>
      <c r="P20" s="6">
        <v>2</v>
      </c>
      <c r="Q20" s="4" t="s">
        <v>26</v>
      </c>
      <c r="R20" s="4">
        <v>0</v>
      </c>
      <c r="S20" s="4">
        <v>0</v>
      </c>
      <c r="T20" s="4">
        <v>26</v>
      </c>
      <c r="U20" s="4">
        <v>64</v>
      </c>
      <c r="V20" s="6">
        <f>IF(ISERROR(VLOOKUP($S$20,'TAR FIN'!$A$1:$O$85,15,0)),0,VLOOKUP($S$20,'TAR FIN'!$A$1:$O$85,15,0))</f>
        <v>0</v>
      </c>
      <c r="W20" s="6">
        <f>IF(ISERROR(VLOOKUP($T$20,'TAR FIN'!$A$1:$O$85,15,0)),0,VLOOKUP($T$20,'TAR FIN'!$A$1:$O$85,15,0))</f>
        <v>94.79</v>
      </c>
      <c r="X20" s="6">
        <f>IF(ISERROR(VLOOKUP($U$20,'TAR FIN'!$A$1:$O$85,15,0)),0,VLOOKUP($U$20,'TAR FIN'!$A$1:$O$85,15,0))</f>
        <v>144.82</v>
      </c>
      <c r="Y20" s="6"/>
      <c r="Z20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0" s="6">
        <f>('TE BE'!$AB$12+'TE BF'!$AB$12+'TE CVA'!$AB$12)*(1-CUSTOS!$M$35)</f>
        <v>143.94669369361654</v>
      </c>
      <c r="AB20" s="6">
        <f t="shared" si="0"/>
        <v>0</v>
      </c>
      <c r="AC20" s="6">
        <f>(L20-M20)*(W20+X20)+($W$28+$X$28-$W$20-$X$20)*(L20)</f>
        <v>90.418499999999995</v>
      </c>
      <c r="AD20" s="6">
        <f t="shared" si="1"/>
        <v>0</v>
      </c>
      <c r="AE20" s="6">
        <f ca="1">(L20-M20)*(Z20+AA20)+($Z$28+$AA$28-$Z$20-$AA$20)*(L20)</f>
        <v>94.918966207393453</v>
      </c>
      <c r="AF20" s="4" t="s">
        <v>524</v>
      </c>
    </row>
    <row r="21" spans="1:32" ht="11.25" customHeight="1" x14ac:dyDescent="0.25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28</v>
      </c>
      <c r="F21" s="4" t="s">
        <v>25</v>
      </c>
      <c r="G21" s="4" t="s">
        <v>25</v>
      </c>
      <c r="H21" s="4" t="s">
        <v>25</v>
      </c>
      <c r="I21" s="5">
        <v>44621</v>
      </c>
      <c r="J21" s="6">
        <v>0</v>
      </c>
      <c r="K21" s="6">
        <v>0</v>
      </c>
      <c r="L21" s="6">
        <v>0.503</v>
      </c>
      <c r="M21" s="6">
        <v>0.503</v>
      </c>
      <c r="N21" s="6">
        <v>0.503</v>
      </c>
      <c r="O21" s="6">
        <v>0.503</v>
      </c>
      <c r="P21" s="6">
        <v>2</v>
      </c>
      <c r="Q21" s="4" t="s">
        <v>26</v>
      </c>
      <c r="R21" s="4">
        <v>0</v>
      </c>
      <c r="S21" s="4">
        <v>0</v>
      </c>
      <c r="T21" s="4">
        <v>26</v>
      </c>
      <c r="U21" s="4">
        <v>64</v>
      </c>
      <c r="V21" s="6">
        <f>IF(ISERROR(VLOOKUP($S$21,'TAR FIN'!$A$1:$O$85,15,0)),0,VLOOKUP($S$21,'TAR FIN'!$A$1:$O$85,15,0))</f>
        <v>0</v>
      </c>
      <c r="W21" s="6">
        <f>IF(ISERROR(VLOOKUP($T$21,'TAR FIN'!$A$1:$O$85,15,0)),0,VLOOKUP($T$21,'TAR FIN'!$A$1:$O$85,15,0))</f>
        <v>94.79</v>
      </c>
      <c r="X21" s="6">
        <f>IF(ISERROR(VLOOKUP($U$21,'TAR FIN'!$A$1:$O$85,15,0)),0,VLOOKUP($U$21,'TAR FIN'!$A$1:$O$85,15,0))</f>
        <v>144.82</v>
      </c>
      <c r="Y21" s="6"/>
      <c r="Z21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1" s="6">
        <f>('TE BE'!$AB$12+'TE BF'!$AB$12+'TE CVA'!$AB$12)*(1-CUSTOS!$M$35)</f>
        <v>143.94669369361654</v>
      </c>
      <c r="AB21" s="6">
        <f t="shared" si="0"/>
        <v>0</v>
      </c>
      <c r="AC21" s="6">
        <f>(L21-M21)*(W21+X21)+($W$28+$X$28-$W$21-$X$21)*(L21)</f>
        <v>80.354250000000008</v>
      </c>
      <c r="AD21" s="6">
        <f t="shared" si="1"/>
        <v>0</v>
      </c>
      <c r="AE21" s="6">
        <f ca="1">(L21-M21)*(Z21+AA21)+($Z$28+$AA$28-$Z$21-$AA$21)*(L21)</f>
        <v>84.353780922824939</v>
      </c>
      <c r="AF21" s="4" t="s">
        <v>524</v>
      </c>
    </row>
    <row r="22" spans="1:32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28</v>
      </c>
      <c r="F22" s="4" t="s">
        <v>25</v>
      </c>
      <c r="G22" s="4" t="s">
        <v>25</v>
      </c>
      <c r="H22" s="4" t="s">
        <v>25</v>
      </c>
      <c r="I22" s="5">
        <v>44652</v>
      </c>
      <c r="J22" s="6">
        <v>0</v>
      </c>
      <c r="K22" s="6">
        <v>0</v>
      </c>
      <c r="L22" s="6">
        <v>0.56599999999999995</v>
      </c>
      <c r="M22" s="6">
        <v>0.56599999999999995</v>
      </c>
      <c r="N22" s="6">
        <v>0.56599999999999995</v>
      </c>
      <c r="O22" s="6">
        <v>0.56599999999999995</v>
      </c>
      <c r="P22" s="6">
        <v>2</v>
      </c>
      <c r="Q22" s="4" t="s">
        <v>26</v>
      </c>
      <c r="R22" s="4">
        <v>0</v>
      </c>
      <c r="S22" s="4">
        <v>0</v>
      </c>
      <c r="T22" s="4">
        <v>26</v>
      </c>
      <c r="U22" s="4">
        <v>64</v>
      </c>
      <c r="V22" s="6">
        <f>IF(ISERROR(VLOOKUP($S$22,'TAR FIN'!$A$1:$O$85,15,0)),0,VLOOKUP($S$22,'TAR FIN'!$A$1:$O$85,15,0))</f>
        <v>0</v>
      </c>
      <c r="W22" s="6">
        <f>IF(ISERROR(VLOOKUP($T$22,'TAR FIN'!$A$1:$O$85,15,0)),0,VLOOKUP($T$22,'TAR FIN'!$A$1:$O$85,15,0))</f>
        <v>94.79</v>
      </c>
      <c r="X22" s="6">
        <f>IF(ISERROR(VLOOKUP($U$22,'TAR FIN'!$A$1:$O$85,15,0)),0,VLOOKUP($U$22,'TAR FIN'!$A$1:$O$85,15,0))</f>
        <v>144.82</v>
      </c>
      <c r="Y22" s="6"/>
      <c r="Z22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2" s="6">
        <f>('TE BE'!$AB$12+'TE BF'!$AB$12+'TE CVA'!$AB$12)*(1-CUSTOS!$M$35)</f>
        <v>143.94669369361654</v>
      </c>
      <c r="AB22" s="6">
        <f t="shared" si="0"/>
        <v>0</v>
      </c>
      <c r="AC22" s="6">
        <f>(L22-M22)*(W22+X22)+($W$28+$X$28-$W$22-$X$22)*(L22)</f>
        <v>90.418499999999995</v>
      </c>
      <c r="AD22" s="6">
        <f t="shared" si="1"/>
        <v>0</v>
      </c>
      <c r="AE22" s="6">
        <f ca="1">(L22-M22)*(Z22+AA22)+($Z$28+$AA$28-$Z$22-$AA$22)*(L22)</f>
        <v>94.918966207393453</v>
      </c>
      <c r="AF22" s="4" t="s">
        <v>524</v>
      </c>
    </row>
    <row r="23" spans="1:32" ht="11.25" customHeight="1" x14ac:dyDescent="0.25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28</v>
      </c>
      <c r="F23" s="4" t="s">
        <v>25</v>
      </c>
      <c r="G23" s="4" t="s">
        <v>25</v>
      </c>
      <c r="H23" s="4" t="s">
        <v>25</v>
      </c>
      <c r="I23" s="5">
        <v>44682</v>
      </c>
      <c r="J23" s="6">
        <v>0</v>
      </c>
      <c r="K23" s="6">
        <v>0</v>
      </c>
      <c r="L23" s="6">
        <v>0.38900000000000001</v>
      </c>
      <c r="M23" s="6">
        <v>0.38900000000000001</v>
      </c>
      <c r="N23" s="6">
        <v>0.38900000000000001</v>
      </c>
      <c r="O23" s="6">
        <v>0.38900000000000001</v>
      </c>
      <c r="P23" s="6">
        <v>2</v>
      </c>
      <c r="Q23" s="4" t="s">
        <v>26</v>
      </c>
      <c r="R23" s="4">
        <v>0</v>
      </c>
      <c r="S23" s="4">
        <v>0</v>
      </c>
      <c r="T23" s="4">
        <v>26</v>
      </c>
      <c r="U23" s="4">
        <v>64</v>
      </c>
      <c r="V23" s="6">
        <f>IF(ISERROR(VLOOKUP($S$23,'TAR FIN'!$A$1:$O$85,15,0)),0,VLOOKUP($S$23,'TAR FIN'!$A$1:$O$85,15,0))</f>
        <v>0</v>
      </c>
      <c r="W23" s="6">
        <f>IF(ISERROR(VLOOKUP($T$23,'TAR FIN'!$A$1:$O$85,15,0)),0,VLOOKUP($T$23,'TAR FIN'!$A$1:$O$85,15,0))</f>
        <v>94.79</v>
      </c>
      <c r="X23" s="6">
        <f>IF(ISERROR(VLOOKUP($U$23,'TAR FIN'!$A$1:$O$85,15,0)),0,VLOOKUP($U$23,'TAR FIN'!$A$1:$O$85,15,0))</f>
        <v>144.82</v>
      </c>
      <c r="Y23" s="6"/>
      <c r="Z23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3" s="6">
        <f>('TE BE'!$AB$12+'TE BF'!$AB$12+'TE CVA'!$AB$12)*(1-CUSTOS!$M$35)</f>
        <v>143.94669369361654</v>
      </c>
      <c r="AB23" s="6">
        <f t="shared" si="0"/>
        <v>0</v>
      </c>
      <c r="AC23" s="6">
        <f>(L23-M23)*(W23+X23)+($W$28+$X$28-$W$23-$X$23)*(L23)</f>
        <v>62.142749999999999</v>
      </c>
      <c r="AD23" s="6">
        <f t="shared" si="1"/>
        <v>0</v>
      </c>
      <c r="AE23" s="6">
        <f ca="1">(L23-M23)*(Z23+AA23)+($Z$28+$AA$28-$Z$23-$AA$23)*(L23)</f>
        <v>65.235826598367595</v>
      </c>
      <c r="AF23" s="4" t="s">
        <v>524</v>
      </c>
    </row>
    <row r="24" spans="1:32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28</v>
      </c>
      <c r="F24" s="4" t="s">
        <v>25</v>
      </c>
      <c r="G24" s="4" t="s">
        <v>25</v>
      </c>
      <c r="H24" s="4" t="s">
        <v>25</v>
      </c>
      <c r="I24" s="5">
        <v>44713</v>
      </c>
      <c r="J24" s="6">
        <v>0</v>
      </c>
      <c r="K24" s="6">
        <v>0</v>
      </c>
      <c r="L24" s="6">
        <v>0.42399999999999999</v>
      </c>
      <c r="M24" s="6">
        <v>0.42399999999999999</v>
      </c>
      <c r="N24" s="6">
        <v>0.42399999999999999</v>
      </c>
      <c r="O24" s="6">
        <v>0.42399999999999999</v>
      </c>
      <c r="P24" s="6">
        <v>2</v>
      </c>
      <c r="Q24" s="4" t="s">
        <v>26</v>
      </c>
      <c r="R24" s="4">
        <v>0</v>
      </c>
      <c r="S24" s="4">
        <v>0</v>
      </c>
      <c r="T24" s="4">
        <v>26</v>
      </c>
      <c r="U24" s="4">
        <v>64</v>
      </c>
      <c r="V24" s="6">
        <f>IF(ISERROR(VLOOKUP($S$24,'TAR FIN'!$A$1:$O$85,15,0)),0,VLOOKUP($S$24,'TAR FIN'!$A$1:$O$85,15,0))</f>
        <v>0</v>
      </c>
      <c r="W24" s="6">
        <f>IF(ISERROR(VLOOKUP($T$24,'TAR FIN'!$A$1:$O$85,15,0)),0,VLOOKUP($T$24,'TAR FIN'!$A$1:$O$85,15,0))</f>
        <v>94.79</v>
      </c>
      <c r="X24" s="6">
        <f>IF(ISERROR(VLOOKUP($U$24,'TAR FIN'!$A$1:$O$85,15,0)),0,VLOOKUP($U$24,'TAR FIN'!$A$1:$O$85,15,0))</f>
        <v>144.82</v>
      </c>
      <c r="Y24" s="6"/>
      <c r="Z24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4" s="6">
        <f>('TE BE'!$AB$12+'TE BF'!$AB$12+'TE CVA'!$AB$12)*(1-CUSTOS!$M$35)</f>
        <v>143.94669369361654</v>
      </c>
      <c r="AB24" s="6">
        <f t="shared" si="0"/>
        <v>0</v>
      </c>
      <c r="AC24" s="6">
        <f>(L24-M24)*(W24+X24)+($W$28+$X$28-$W$24-$X$24)*(L24)</f>
        <v>67.733999999999995</v>
      </c>
      <c r="AD24" s="6">
        <f t="shared" si="1"/>
        <v>0</v>
      </c>
      <c r="AE24" s="6">
        <f ca="1">(L24-M24)*(Z24+AA24)+($Z$28+$AA$28-$Z$24-$AA$24)*(L24)</f>
        <v>71.105373978683446</v>
      </c>
      <c r="AF24" s="4" t="s">
        <v>524</v>
      </c>
    </row>
    <row r="25" spans="1:32" ht="11.25" customHeight="1" x14ac:dyDescent="0.25">
      <c r="A25" s="4" t="s">
        <v>21</v>
      </c>
      <c r="B25" s="4" t="s">
        <v>22</v>
      </c>
      <c r="C25" s="4" t="s">
        <v>23</v>
      </c>
      <c r="D25" s="4" t="s">
        <v>24</v>
      </c>
      <c r="E25" s="4" t="s">
        <v>28</v>
      </c>
      <c r="F25" s="4" t="s">
        <v>25</v>
      </c>
      <c r="G25" s="4" t="s">
        <v>25</v>
      </c>
      <c r="H25" s="4" t="s">
        <v>25</v>
      </c>
      <c r="I25" s="5">
        <v>44743</v>
      </c>
      <c r="J25" s="6">
        <v>0</v>
      </c>
      <c r="K25" s="6">
        <v>0</v>
      </c>
      <c r="L25" s="6">
        <v>0.33300000000000002</v>
      </c>
      <c r="M25" s="6">
        <v>0.33300000000000002</v>
      </c>
      <c r="N25" s="6">
        <v>0.33300000000000002</v>
      </c>
      <c r="O25" s="6">
        <v>0.33300000000000002</v>
      </c>
      <c r="P25" s="6">
        <v>2</v>
      </c>
      <c r="Q25" s="4" t="s">
        <v>26</v>
      </c>
      <c r="R25" s="4">
        <v>0</v>
      </c>
      <c r="S25" s="4">
        <v>0</v>
      </c>
      <c r="T25" s="4">
        <v>26</v>
      </c>
      <c r="U25" s="4">
        <v>64</v>
      </c>
      <c r="V25" s="6">
        <f>IF(ISERROR(VLOOKUP($S$25,'TAR FIN'!$A$1:$O$85,15,0)),0,VLOOKUP($S$25,'TAR FIN'!$A$1:$O$85,15,0))</f>
        <v>0</v>
      </c>
      <c r="W25" s="6">
        <f>IF(ISERROR(VLOOKUP($T$25,'TAR FIN'!$A$1:$O$85,15,0)),0,VLOOKUP($T$25,'TAR FIN'!$A$1:$O$85,15,0))</f>
        <v>94.79</v>
      </c>
      <c r="X25" s="6">
        <f>IF(ISERROR(VLOOKUP($U$25,'TAR FIN'!$A$1:$O$85,15,0)),0,VLOOKUP($U$25,'TAR FIN'!$A$1:$O$85,15,0))</f>
        <v>144.82</v>
      </c>
      <c r="Y25" s="6"/>
      <c r="Z25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5" s="6">
        <f>('TE BE'!$AB$12+'TE BF'!$AB$12+'TE CVA'!$AB$12)*(1-CUSTOS!$M$35)</f>
        <v>143.94669369361654</v>
      </c>
      <c r="AB25" s="6">
        <f t="shared" si="0"/>
        <v>0</v>
      </c>
      <c r="AC25" s="6">
        <f>(L25-M25)*(W25+X25)+($W$28+$X$28-$W$25-$X$25)*(L25)</f>
        <v>53.196750000000002</v>
      </c>
      <c r="AD25" s="6">
        <f t="shared" si="1"/>
        <v>0</v>
      </c>
      <c r="AE25" s="6">
        <f ca="1">(L25-M25)*(Z25+AA25)+($Z$28+$AA$28-$Z$25-$AA$25)*(L25)</f>
        <v>55.844550789862232</v>
      </c>
      <c r="AF25" s="4" t="s">
        <v>524</v>
      </c>
    </row>
    <row r="26" spans="1:32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28</v>
      </c>
      <c r="F26" s="4" t="s">
        <v>25</v>
      </c>
      <c r="G26" s="4" t="s">
        <v>25</v>
      </c>
      <c r="H26" s="4" t="s">
        <v>25</v>
      </c>
      <c r="I26" s="5">
        <v>44774</v>
      </c>
      <c r="J26" s="6">
        <v>0</v>
      </c>
      <c r="K26" s="6">
        <v>0</v>
      </c>
      <c r="L26" s="6">
        <v>0.31900000000000001</v>
      </c>
      <c r="M26" s="6">
        <v>0.31900000000000001</v>
      </c>
      <c r="N26" s="6">
        <v>0.31900000000000001</v>
      </c>
      <c r="O26" s="6">
        <v>0.31900000000000001</v>
      </c>
      <c r="P26" s="6">
        <v>1</v>
      </c>
      <c r="Q26" s="4" t="s">
        <v>26</v>
      </c>
      <c r="R26" s="4">
        <v>0</v>
      </c>
      <c r="S26" s="4">
        <v>0</v>
      </c>
      <c r="T26" s="4">
        <v>26</v>
      </c>
      <c r="U26" s="4">
        <v>64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94.79</v>
      </c>
      <c r="X26" s="6">
        <f>IF(ISERROR(VLOOKUP($U$26,'TAR FIN'!$A$1:$O$85,15,0)),0,VLOOKUP($U$26,'TAR FIN'!$A$1:$O$85,15,0))</f>
        <v>144.82</v>
      </c>
      <c r="Y26" s="6"/>
      <c r="Z26" s="6">
        <f ca="1">('TUSD BE'!$AM$22+'TUSD BF'!$AM$22+'TUSD CVA'!$AM$22-('TUSD BE'!$P$22+'TUSD BF'!$P$22+'TUSD CVA'!$P$22)-('TUSD BE'!$Q$22+'TUSD BF'!$Q$22+'TUSD CVA'!$Q$22)-('TUSD BE'!$R$22+'TUSD BF'!$R$22+'TUSD CVA'!$R$22))*(1-CUSTOS!$M$35)</f>
        <v>107.60533689134844</v>
      </c>
      <c r="AA26" s="6">
        <f>('TE BE'!$AB$12+'TE BF'!$AB$12+'TE CVA'!$AB$12)*(1-CUSTOS!$M$35)</f>
        <v>143.94669369361654</v>
      </c>
      <c r="AB26" s="6">
        <f t="shared" si="0"/>
        <v>0</v>
      </c>
      <c r="AC26" s="6">
        <f>(L26-M26)*(W26+X26)+($W$28+$X$28-$W$26-$X$26)*(L26)</f>
        <v>50.960250000000002</v>
      </c>
      <c r="AD26" s="6">
        <f t="shared" si="1"/>
        <v>0</v>
      </c>
      <c r="AE26" s="6">
        <f ca="1">(L26-M26)*(Z26+AA26)+($Z$28+$AA$28-$Z$26-$AA$26)*(L26)</f>
        <v>53.496731837735894</v>
      </c>
      <c r="AF26" s="4" t="s">
        <v>524</v>
      </c>
    </row>
    <row r="27" spans="1:32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29</v>
      </c>
      <c r="F27" s="4" t="s">
        <v>25</v>
      </c>
      <c r="G27" s="4" t="s">
        <v>25</v>
      </c>
      <c r="H27" s="4" t="s">
        <v>25</v>
      </c>
      <c r="I27" s="5">
        <v>44440</v>
      </c>
      <c r="J27" s="6">
        <v>0</v>
      </c>
      <c r="K27" s="6">
        <v>0</v>
      </c>
      <c r="L27" s="6">
        <v>0.12</v>
      </c>
      <c r="M27" s="6">
        <v>0.12</v>
      </c>
      <c r="N27" s="6">
        <v>0.12</v>
      </c>
      <c r="O27" s="6">
        <v>0.12</v>
      </c>
      <c r="P27" s="6">
        <v>0</v>
      </c>
      <c r="Q27" s="4" t="s">
        <v>26</v>
      </c>
      <c r="R27" s="4">
        <v>0</v>
      </c>
      <c r="S27" s="4">
        <v>0</v>
      </c>
      <c r="T27" s="4">
        <v>15</v>
      </c>
      <c r="U27" s="4">
        <v>75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142.19</v>
      </c>
      <c r="X27" s="6">
        <f>IF(ISERROR(VLOOKUP($U$27,'TAR FIN'!$A$1:$O$85,15,0)),0,VLOOKUP($U$27,'TAR FIN'!$A$1:$O$85,15,0))</f>
        <v>217.24</v>
      </c>
      <c r="Y27" s="6"/>
      <c r="Z27" s="6">
        <f ca="1">('TUSD BE'!$AM$23+'TUSD BF'!$AM$23+'TUSD CVA'!$AM$23-('TUSD BE'!$P$23+'TUSD BF'!$P$23+'TUSD CVA'!$P$23)-('TUSD BE'!$Q$23+'TUSD BF'!$Q$23+'TUSD CVA'!$Q$23)-('TUSD BE'!$R$23+'TUSD BF'!$R$23+'TUSD CVA'!$R$23))*(1-CUSTOS!$M$36)</f>
        <v>161.40800533702267</v>
      </c>
      <c r="AA27" s="6">
        <f>('TE BE'!$AB$13+'TE BF'!$AB$13+'TE CVA'!$AB$13)*(1-CUSTOS!$M$36)</f>
        <v>215.92004054042482</v>
      </c>
      <c r="AB27" s="6">
        <f t="shared" si="0"/>
        <v>0</v>
      </c>
      <c r="AC27" s="6">
        <f>(L27-M27)*(W27+X27)+($W$28+$X$28-$W$27-$X$27)*(L27)</f>
        <v>4.7916000000000007</v>
      </c>
      <c r="AD27" s="6">
        <f t="shared" si="1"/>
        <v>0</v>
      </c>
      <c r="AE27" s="6">
        <f ca="1">(L27-M27)*(Z27+AA27)+($Z$28+$AA$28-$Z$27-$AA$27)*(L27)</f>
        <v>5.0310406116993009</v>
      </c>
      <c r="AF27" s="4" t="s">
        <v>524</v>
      </c>
    </row>
    <row r="28" spans="1:32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30</v>
      </c>
      <c r="F28" s="4" t="s">
        <v>25</v>
      </c>
      <c r="G28" s="4" t="s">
        <v>25</v>
      </c>
      <c r="H28" s="4" t="s">
        <v>25</v>
      </c>
      <c r="I28" s="5">
        <v>44440</v>
      </c>
      <c r="J28" s="6">
        <v>0</v>
      </c>
      <c r="K28" s="6">
        <v>0</v>
      </c>
      <c r="L28" s="6">
        <v>0.31900000000000001</v>
      </c>
      <c r="M28" s="6">
        <v>0.31900000000000001</v>
      </c>
      <c r="N28" s="6">
        <v>0.31900000000000001</v>
      </c>
      <c r="O28" s="6">
        <v>0.31900000000000001</v>
      </c>
      <c r="P28" s="6">
        <v>1</v>
      </c>
      <c r="Q28" s="4" t="s">
        <v>26</v>
      </c>
      <c r="R28" s="4">
        <v>0</v>
      </c>
      <c r="S28" s="4">
        <v>0</v>
      </c>
      <c r="T28" s="4">
        <v>23</v>
      </c>
      <c r="U28" s="4">
        <v>70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157.99</v>
      </c>
      <c r="X28" s="6">
        <f>IF(ISERROR(VLOOKUP($U$28,'TAR FIN'!$A$1:$O$85,15,0)),0,VLOOKUP($U$28,'TAR FIN'!$A$1:$O$85,15,0))</f>
        <v>241.37</v>
      </c>
      <c r="Y28" s="6"/>
      <c r="Z28" s="6">
        <f ca="1">('TUSD BE'!$AM$24+'TUSD BF'!$AM$24+'TUSD CVA'!$AM$24-('TUSD BE'!$P$24+'TUSD BF'!$P$24+'TUSD CVA'!$P$24)-('TUSD BE'!$Q$24+'TUSD BF'!$Q$24+'TUSD CVA'!$Q$24)-('TUSD BE'!$R$24+'TUSD BF'!$R$24+'TUSD CVA'!$R$24))*(1-CUSTOS!$M$37)</f>
        <v>179.3422281522474</v>
      </c>
      <c r="AA28" s="6">
        <f>('TE BE'!$AB$14+'TE BF'!$AB$14+'TE CVA'!$AB$14)*(1-CUSTOS!$M$37)</f>
        <v>239.91115615602757</v>
      </c>
      <c r="AB28" s="6">
        <f t="shared" si="0"/>
        <v>0</v>
      </c>
      <c r="AC28" s="6">
        <f>(L28-M28)*(W28+X28)+($W$28+$X$28-$W$28-$X$28)*(L28)</f>
        <v>0</v>
      </c>
      <c r="AD28" s="6">
        <f t="shared" si="1"/>
        <v>0</v>
      </c>
      <c r="AE28" s="6">
        <f ca="1">(L28-M28)*(Z28+AA28)+($Z$28+$AA$28-$Z$28-$AA$28)*(L28)</f>
        <v>0</v>
      </c>
      <c r="AF28" s="4" t="s">
        <v>524</v>
      </c>
    </row>
    <row r="29" spans="1:32" ht="11.25" customHeight="1" x14ac:dyDescent="0.25">
      <c r="A29" s="4" t="s">
        <v>21</v>
      </c>
      <c r="B29" s="4" t="s">
        <v>39</v>
      </c>
      <c r="C29" s="4" t="s">
        <v>23</v>
      </c>
      <c r="D29" s="4" t="s">
        <v>40</v>
      </c>
      <c r="E29" s="4" t="s">
        <v>25</v>
      </c>
      <c r="F29" s="4" t="s">
        <v>25</v>
      </c>
      <c r="G29" s="4" t="s">
        <v>25</v>
      </c>
      <c r="H29" s="4" t="s">
        <v>25</v>
      </c>
      <c r="I29" s="5">
        <v>44440</v>
      </c>
      <c r="J29" s="6">
        <v>0</v>
      </c>
      <c r="K29" s="6">
        <v>0</v>
      </c>
      <c r="L29" s="6">
        <v>54.149000000000001</v>
      </c>
      <c r="M29" s="6">
        <v>54.149000000000001</v>
      </c>
      <c r="N29" s="6">
        <v>54.149000000000001</v>
      </c>
      <c r="O29" s="6">
        <v>54.149000000000001</v>
      </c>
      <c r="P29" s="6">
        <v>161</v>
      </c>
      <c r="Q29" s="4" t="s">
        <v>26</v>
      </c>
      <c r="R29" s="4">
        <v>0</v>
      </c>
      <c r="S29" s="4">
        <v>0</v>
      </c>
      <c r="T29" s="4">
        <v>33</v>
      </c>
      <c r="U29" s="4">
        <v>66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195.69</v>
      </c>
      <c r="X29" s="6">
        <f>IF(ISERROR(VLOOKUP($U$29,'TAR FIN'!$A$1:$O$85,15,0)),0,VLOOKUP($U$29,'TAR FIN'!$A$1:$O$85,15,0))</f>
        <v>212.41</v>
      </c>
      <c r="Y29" s="6"/>
      <c r="Z29" s="6">
        <f ca="1">('TUSD BE'!$AM$33+'TUSD BF'!$AM$33+'TUSD CVA'!$AM$33)*(1-CUSTOS!$M$38)</f>
        <v>262.76076138596557</v>
      </c>
      <c r="AA29" s="6">
        <f>('TE BE'!$AB$23+'TE BF'!$AB$23+'TE CVA'!$AB$23)*(1-CUSTOS!$M$38)</f>
        <v>225.51648678666589</v>
      </c>
      <c r="AB29" s="6">
        <f t="shared" si="0"/>
        <v>0</v>
      </c>
      <c r="AC29" s="6">
        <f>(L29-M29)*(W29+X29)+($W$2+$X$2-$W$29-$X$29)*(L29)</f>
        <v>3013.3918500000004</v>
      </c>
      <c r="AD29" s="6">
        <f t="shared" si="1"/>
        <v>0</v>
      </c>
      <c r="AE29" s="6">
        <f ca="1">(L29-M29)*(Z29+AA29)+($Z$2+$AA$2-$Z$29-$AA$29)*(L29)</f>
        <v>1687.6420028489304</v>
      </c>
      <c r="AF29" s="4" t="s">
        <v>525</v>
      </c>
    </row>
    <row r="30" spans="1:32" ht="11.25" customHeight="1" x14ac:dyDescent="0.25">
      <c r="A30" s="4" t="s">
        <v>21</v>
      </c>
      <c r="B30" s="4" t="s">
        <v>39</v>
      </c>
      <c r="C30" s="4" t="s">
        <v>23</v>
      </c>
      <c r="D30" s="4" t="s">
        <v>40</v>
      </c>
      <c r="E30" s="4" t="s">
        <v>25</v>
      </c>
      <c r="F30" s="4" t="s">
        <v>25</v>
      </c>
      <c r="G30" s="4" t="s">
        <v>25</v>
      </c>
      <c r="H30" s="4" t="s">
        <v>25</v>
      </c>
      <c r="I30" s="5">
        <v>44470</v>
      </c>
      <c r="J30" s="6">
        <v>0</v>
      </c>
      <c r="K30" s="6">
        <v>0</v>
      </c>
      <c r="L30" s="6">
        <v>53.856999999999999</v>
      </c>
      <c r="M30" s="6">
        <v>53.856999999999999</v>
      </c>
      <c r="N30" s="6">
        <v>53.856999999999999</v>
      </c>
      <c r="O30" s="6">
        <v>53.856999999999999</v>
      </c>
      <c r="P30" s="6">
        <v>161</v>
      </c>
      <c r="Q30" s="4" t="s">
        <v>26</v>
      </c>
      <c r="R30" s="4">
        <v>0</v>
      </c>
      <c r="S30" s="4">
        <v>0</v>
      </c>
      <c r="T30" s="4">
        <v>33</v>
      </c>
      <c r="U30" s="4">
        <v>66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195.69</v>
      </c>
      <c r="X30" s="6">
        <f>IF(ISERROR(VLOOKUP($U$30,'TAR FIN'!$A$1:$O$85,15,0)),0,VLOOKUP($U$30,'TAR FIN'!$A$1:$O$85,15,0))</f>
        <v>212.41</v>
      </c>
      <c r="Y30" s="6"/>
      <c r="Z30" s="6">
        <f ca="1">('TUSD BE'!$AM$33+'TUSD BF'!$AM$33+'TUSD CVA'!$AM$33)*(1-CUSTOS!$M$38)</f>
        <v>262.76076138596557</v>
      </c>
      <c r="AA30" s="6">
        <f>('TE BE'!$AB$23+'TE BF'!$AB$23+'TE CVA'!$AB$23)*(1-CUSTOS!$M$38)</f>
        <v>225.51648678666589</v>
      </c>
      <c r="AB30" s="6">
        <f t="shared" si="0"/>
        <v>0</v>
      </c>
      <c r="AC30" s="6">
        <f>(L30-M30)*(W30+X30)+($W$2+$X$2-$W$30-$X$30)*(L30)</f>
        <v>2997.1420500000004</v>
      </c>
      <c r="AD30" s="6">
        <f t="shared" si="1"/>
        <v>0</v>
      </c>
      <c r="AE30" s="6">
        <f ca="1">(L30-M30)*(Z30+AA30)+($Z$2+$AA$2-$Z$30-$AA$30)*(L30)</f>
        <v>1678.5413460532022</v>
      </c>
      <c r="AF30" s="4" t="s">
        <v>525</v>
      </c>
    </row>
    <row r="31" spans="1:32" ht="11.25" customHeight="1" x14ac:dyDescent="0.25">
      <c r="A31" s="4" t="s">
        <v>21</v>
      </c>
      <c r="B31" s="4" t="s">
        <v>39</v>
      </c>
      <c r="C31" s="4" t="s">
        <v>23</v>
      </c>
      <c r="D31" s="4" t="s">
        <v>40</v>
      </c>
      <c r="E31" s="4" t="s">
        <v>25</v>
      </c>
      <c r="F31" s="4" t="s">
        <v>25</v>
      </c>
      <c r="G31" s="4" t="s">
        <v>25</v>
      </c>
      <c r="H31" s="4" t="s">
        <v>25</v>
      </c>
      <c r="I31" s="5">
        <v>44501</v>
      </c>
      <c r="J31" s="6">
        <v>0</v>
      </c>
      <c r="K31" s="6">
        <v>0</v>
      </c>
      <c r="L31" s="6">
        <v>54.054000000000002</v>
      </c>
      <c r="M31" s="6">
        <v>54.054000000000002</v>
      </c>
      <c r="N31" s="6">
        <v>54.054000000000002</v>
      </c>
      <c r="O31" s="6">
        <v>54.054000000000002</v>
      </c>
      <c r="P31" s="6">
        <v>170</v>
      </c>
      <c r="Q31" s="4" t="s">
        <v>26</v>
      </c>
      <c r="R31" s="4">
        <v>0</v>
      </c>
      <c r="S31" s="4">
        <v>0</v>
      </c>
      <c r="T31" s="4">
        <v>33</v>
      </c>
      <c r="U31" s="4">
        <v>66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195.69</v>
      </c>
      <c r="X31" s="6">
        <f>IF(ISERROR(VLOOKUP($U$31,'TAR FIN'!$A$1:$O$85,15,0)),0,VLOOKUP($U$31,'TAR FIN'!$A$1:$O$85,15,0))</f>
        <v>212.41</v>
      </c>
      <c r="Y31" s="6"/>
      <c r="Z31" s="6">
        <f ca="1">('TUSD BE'!$AM$33+'TUSD BF'!$AM$33+'TUSD CVA'!$AM$33)*(1-CUSTOS!$M$38)</f>
        <v>262.76076138596557</v>
      </c>
      <c r="AA31" s="6">
        <f>('TE BE'!$AB$23+'TE BF'!$AB$23+'TE CVA'!$AB$23)*(1-CUSTOS!$M$38)</f>
        <v>225.51648678666589</v>
      </c>
      <c r="AB31" s="6">
        <f t="shared" si="0"/>
        <v>0</v>
      </c>
      <c r="AC31" s="6">
        <f>(L31-M31)*(W31+X31)+($W$2+$X$2-$W$31-$X$31)*(L31)</f>
        <v>3008.1051000000002</v>
      </c>
      <c r="AD31" s="6">
        <f t="shared" si="1"/>
        <v>0</v>
      </c>
      <c r="AE31" s="6">
        <f ca="1">(L31-M31)*(Z31+AA31)+($Z$2+$AA$2-$Z$31-$AA$31)*(L31)</f>
        <v>1684.6811727270326</v>
      </c>
      <c r="AF31" s="4" t="s">
        <v>525</v>
      </c>
    </row>
    <row r="32" spans="1:32" ht="11.25" customHeight="1" x14ac:dyDescent="0.25">
      <c r="A32" s="4" t="s">
        <v>21</v>
      </c>
      <c r="B32" s="4" t="s">
        <v>39</v>
      </c>
      <c r="C32" s="4" t="s">
        <v>23</v>
      </c>
      <c r="D32" s="4" t="s">
        <v>40</v>
      </c>
      <c r="E32" s="4" t="s">
        <v>25</v>
      </c>
      <c r="F32" s="4" t="s">
        <v>25</v>
      </c>
      <c r="G32" s="4" t="s">
        <v>25</v>
      </c>
      <c r="H32" s="4" t="s">
        <v>25</v>
      </c>
      <c r="I32" s="5">
        <v>44531</v>
      </c>
      <c r="J32" s="6">
        <v>0</v>
      </c>
      <c r="K32" s="6">
        <v>0</v>
      </c>
      <c r="L32" s="6">
        <v>55.401000000000003</v>
      </c>
      <c r="M32" s="6">
        <v>55.401000000000003</v>
      </c>
      <c r="N32" s="6">
        <v>55.401000000000003</v>
      </c>
      <c r="O32" s="6">
        <v>55.401000000000003</v>
      </c>
      <c r="P32" s="6">
        <v>168</v>
      </c>
      <c r="Q32" s="4" t="s">
        <v>26</v>
      </c>
      <c r="R32" s="4">
        <v>0</v>
      </c>
      <c r="S32" s="4">
        <v>0</v>
      </c>
      <c r="T32" s="4">
        <v>33</v>
      </c>
      <c r="U32" s="4">
        <v>66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195.69</v>
      </c>
      <c r="X32" s="6">
        <f>IF(ISERROR(VLOOKUP($U$32,'TAR FIN'!$A$1:$O$85,15,0)),0,VLOOKUP($U$32,'TAR FIN'!$A$1:$O$85,15,0))</f>
        <v>212.41</v>
      </c>
      <c r="Y32" s="6"/>
      <c r="Z32" s="6">
        <f ca="1">('TUSD BE'!$AM$33+'TUSD BF'!$AM$33+'TUSD CVA'!$AM$33)*(1-CUSTOS!$M$38)</f>
        <v>262.76076138596557</v>
      </c>
      <c r="AA32" s="6">
        <f>('TE BE'!$AB$23+'TE BF'!$AB$23+'TE CVA'!$AB$23)*(1-CUSTOS!$M$38)</f>
        <v>225.51648678666589</v>
      </c>
      <c r="AB32" s="6">
        <f t="shared" si="0"/>
        <v>0</v>
      </c>
      <c r="AC32" s="6">
        <f>(L32-M32)*(W32+X32)+($W$2+$X$2-$W$32-$X$32)*(L32)</f>
        <v>3083.0656500000005</v>
      </c>
      <c r="AD32" s="6">
        <f t="shared" si="1"/>
        <v>0</v>
      </c>
      <c r="AE32" s="6">
        <f ca="1">(L32-M32)*(Z32+AA32)+($Z$2+$AA$2-$Z$32-$AA$32)*(L32)</f>
        <v>1726.6626271922582</v>
      </c>
      <c r="AF32" s="4" t="s">
        <v>525</v>
      </c>
    </row>
    <row r="33" spans="1:32" ht="11.25" customHeight="1" x14ac:dyDescent="0.25">
      <c r="A33" s="4" t="s">
        <v>21</v>
      </c>
      <c r="B33" s="4" t="s">
        <v>39</v>
      </c>
      <c r="C33" s="4" t="s">
        <v>23</v>
      </c>
      <c r="D33" s="4" t="s">
        <v>40</v>
      </c>
      <c r="E33" s="4" t="s">
        <v>25</v>
      </c>
      <c r="F33" s="4" t="s">
        <v>25</v>
      </c>
      <c r="G33" s="4" t="s">
        <v>25</v>
      </c>
      <c r="H33" s="4" t="s">
        <v>25</v>
      </c>
      <c r="I33" s="5">
        <v>44562</v>
      </c>
      <c r="J33" s="6">
        <v>0</v>
      </c>
      <c r="K33" s="6">
        <v>0</v>
      </c>
      <c r="L33" s="6">
        <v>61.930999999999997</v>
      </c>
      <c r="M33" s="6">
        <v>61.930999999999997</v>
      </c>
      <c r="N33" s="6">
        <v>61.930999999999997</v>
      </c>
      <c r="O33" s="6">
        <v>61.930999999999997</v>
      </c>
      <c r="P33" s="6">
        <v>168</v>
      </c>
      <c r="Q33" s="4" t="s">
        <v>26</v>
      </c>
      <c r="R33" s="4">
        <v>0</v>
      </c>
      <c r="S33" s="4">
        <v>0</v>
      </c>
      <c r="T33" s="4">
        <v>33</v>
      </c>
      <c r="U33" s="4">
        <v>66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195.69</v>
      </c>
      <c r="X33" s="6">
        <f>IF(ISERROR(VLOOKUP($U$33,'TAR FIN'!$A$1:$O$85,15,0)),0,VLOOKUP($U$33,'TAR FIN'!$A$1:$O$85,15,0))</f>
        <v>212.41</v>
      </c>
      <c r="Y33" s="6"/>
      <c r="Z33" s="6">
        <f ca="1">('TUSD BE'!$AM$33+'TUSD BF'!$AM$33+'TUSD CVA'!$AM$33)*(1-CUSTOS!$M$38)</f>
        <v>262.76076138596557</v>
      </c>
      <c r="AA33" s="6">
        <f>('TE BE'!$AB$23+'TE BF'!$AB$23+'TE CVA'!$AB$23)*(1-CUSTOS!$M$38)</f>
        <v>225.51648678666589</v>
      </c>
      <c r="AB33" s="6">
        <f t="shared" si="0"/>
        <v>0</v>
      </c>
      <c r="AC33" s="6">
        <f>(L33-M33)*(W33+X33)+($W$2+$X$2-$W$33-$X$33)*(L33)</f>
        <v>3446.4601500000003</v>
      </c>
      <c r="AD33" s="6">
        <f t="shared" si="1"/>
        <v>0</v>
      </c>
      <c r="AE33" s="6">
        <f ca="1">(L33-M33)*(Z33+AA33)+($Z$2+$AA$2-$Z$33-$AA$33)*(L33)</f>
        <v>1930.1807397816599</v>
      </c>
      <c r="AF33" s="4" t="s">
        <v>525</v>
      </c>
    </row>
    <row r="34" spans="1:32" ht="11.25" customHeight="1" x14ac:dyDescent="0.25">
      <c r="A34" s="4" t="s">
        <v>21</v>
      </c>
      <c r="B34" s="4" t="s">
        <v>39</v>
      </c>
      <c r="C34" s="4" t="s">
        <v>23</v>
      </c>
      <c r="D34" s="4" t="s">
        <v>40</v>
      </c>
      <c r="E34" s="4" t="s">
        <v>25</v>
      </c>
      <c r="F34" s="4" t="s">
        <v>25</v>
      </c>
      <c r="G34" s="4" t="s">
        <v>25</v>
      </c>
      <c r="H34" s="4" t="s">
        <v>25</v>
      </c>
      <c r="I34" s="5">
        <v>44593</v>
      </c>
      <c r="J34" s="6">
        <v>0</v>
      </c>
      <c r="K34" s="6">
        <v>0</v>
      </c>
      <c r="L34" s="6">
        <v>61.552</v>
      </c>
      <c r="M34" s="6">
        <v>61.552</v>
      </c>
      <c r="N34" s="6">
        <v>61.552</v>
      </c>
      <c r="O34" s="6">
        <v>61.552</v>
      </c>
      <c r="P34" s="6">
        <v>168</v>
      </c>
      <c r="Q34" s="4" t="s">
        <v>26</v>
      </c>
      <c r="R34" s="4">
        <v>0</v>
      </c>
      <c r="S34" s="4">
        <v>0</v>
      </c>
      <c r="T34" s="4">
        <v>33</v>
      </c>
      <c r="U34" s="4">
        <v>66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195.69</v>
      </c>
      <c r="X34" s="6">
        <f>IF(ISERROR(VLOOKUP($U$34,'TAR FIN'!$A$1:$O$85,15,0)),0,VLOOKUP($U$34,'TAR FIN'!$A$1:$O$85,15,0))</f>
        <v>212.41</v>
      </c>
      <c r="Y34" s="6"/>
      <c r="Z34" s="6">
        <f ca="1">('TUSD BE'!$AM$33+'TUSD BF'!$AM$33+'TUSD CVA'!$AM$33)*(1-CUSTOS!$M$38)</f>
        <v>262.76076138596557</v>
      </c>
      <c r="AA34" s="6">
        <f>('TE BE'!$AB$23+'TE BF'!$AB$23+'TE CVA'!$AB$23)*(1-CUSTOS!$M$38)</f>
        <v>225.51648678666589</v>
      </c>
      <c r="AB34" s="6">
        <f t="shared" ref="AB34:AB40" si="4">(J34-K34)*V34</f>
        <v>0</v>
      </c>
      <c r="AC34" s="6">
        <f>(L34-M34)*(W34+X34)+($W$2+$X$2-$W$34-$X$34)*(L34)</f>
        <v>3425.3688000000002</v>
      </c>
      <c r="AD34" s="6">
        <f t="shared" ref="AD34:AD40" si="5">(J34-K34)*Y34</f>
        <v>0</v>
      </c>
      <c r="AE34" s="6">
        <f ca="1">(L34-M34)*(Z34+AA34)+($Z$2+$AA$2-$Z$34-$AA$34)*(L34)</f>
        <v>1918.3685859269306</v>
      </c>
      <c r="AF34" s="4" t="s">
        <v>525</v>
      </c>
    </row>
    <row r="35" spans="1:32" ht="11.25" customHeight="1" x14ac:dyDescent="0.25">
      <c r="A35" s="4" t="s">
        <v>21</v>
      </c>
      <c r="B35" s="4" t="s">
        <v>39</v>
      </c>
      <c r="C35" s="4" t="s">
        <v>23</v>
      </c>
      <c r="D35" s="4" t="s">
        <v>40</v>
      </c>
      <c r="E35" s="4" t="s">
        <v>25</v>
      </c>
      <c r="F35" s="4" t="s">
        <v>25</v>
      </c>
      <c r="G35" s="4" t="s">
        <v>25</v>
      </c>
      <c r="H35" s="4" t="s">
        <v>25</v>
      </c>
      <c r="I35" s="5">
        <v>44621</v>
      </c>
      <c r="J35" s="6">
        <v>0</v>
      </c>
      <c r="K35" s="6">
        <v>0</v>
      </c>
      <c r="L35" s="6">
        <v>56.143999999999998</v>
      </c>
      <c r="M35" s="6">
        <v>56.143999999999998</v>
      </c>
      <c r="N35" s="6">
        <v>56.143999999999998</v>
      </c>
      <c r="O35" s="6">
        <v>56.143999999999998</v>
      </c>
      <c r="P35" s="6">
        <v>159</v>
      </c>
      <c r="Q35" s="4" t="s">
        <v>26</v>
      </c>
      <c r="R35" s="4">
        <v>0</v>
      </c>
      <c r="S35" s="4">
        <v>0</v>
      </c>
      <c r="T35" s="4">
        <v>33</v>
      </c>
      <c r="U35" s="4">
        <v>66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195.69</v>
      </c>
      <c r="X35" s="6">
        <f>IF(ISERROR(VLOOKUP($U$35,'TAR FIN'!$A$1:$O$85,15,0)),0,VLOOKUP($U$35,'TAR FIN'!$A$1:$O$85,15,0))</f>
        <v>212.41</v>
      </c>
      <c r="Y35" s="6"/>
      <c r="Z35" s="6">
        <f ca="1">('TUSD BE'!$AM$33+'TUSD BF'!$AM$33+'TUSD CVA'!$AM$33)*(1-CUSTOS!$M$38)</f>
        <v>262.76076138596557</v>
      </c>
      <c r="AA35" s="6">
        <f>('TE BE'!$AB$23+'TE BF'!$AB$23+'TE CVA'!$AB$23)*(1-CUSTOS!$M$38)</f>
        <v>225.51648678666589</v>
      </c>
      <c r="AB35" s="6">
        <f t="shared" si="4"/>
        <v>0</v>
      </c>
      <c r="AC35" s="6">
        <f>(L35-M35)*(W35+X35)+($W$2+$X$2-$W$35-$X$35)*(L35)</f>
        <v>3124.4136000000003</v>
      </c>
      <c r="AD35" s="6">
        <f t="shared" si="5"/>
        <v>0</v>
      </c>
      <c r="AE35" s="6">
        <f ca="1">(L35-M35)*(Z35+AA35)+($Z$2+$AA$2-$Z$35-$AA$35)*(L35)</f>
        <v>1749.8194354087859</v>
      </c>
      <c r="AF35" s="4" t="s">
        <v>525</v>
      </c>
    </row>
    <row r="36" spans="1:32" ht="11.25" customHeight="1" x14ac:dyDescent="0.25">
      <c r="A36" s="4" t="s">
        <v>21</v>
      </c>
      <c r="B36" s="4" t="s">
        <v>39</v>
      </c>
      <c r="C36" s="4" t="s">
        <v>23</v>
      </c>
      <c r="D36" s="4" t="s">
        <v>40</v>
      </c>
      <c r="E36" s="4" t="s">
        <v>25</v>
      </c>
      <c r="F36" s="4" t="s">
        <v>25</v>
      </c>
      <c r="G36" s="4" t="s">
        <v>25</v>
      </c>
      <c r="H36" s="4" t="s">
        <v>25</v>
      </c>
      <c r="I36" s="5">
        <v>44652</v>
      </c>
      <c r="J36" s="6">
        <v>0</v>
      </c>
      <c r="K36" s="6">
        <v>0</v>
      </c>
      <c r="L36" s="6">
        <v>58.720999999999997</v>
      </c>
      <c r="M36" s="6">
        <v>58.720999999999997</v>
      </c>
      <c r="N36" s="6">
        <v>58.720999999999997</v>
      </c>
      <c r="O36" s="6">
        <v>58.720999999999997</v>
      </c>
      <c r="P36" s="6">
        <v>159</v>
      </c>
      <c r="Q36" s="4" t="s">
        <v>26</v>
      </c>
      <c r="R36" s="4">
        <v>0</v>
      </c>
      <c r="S36" s="4">
        <v>0</v>
      </c>
      <c r="T36" s="4">
        <v>33</v>
      </c>
      <c r="U36" s="4">
        <v>66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195.69</v>
      </c>
      <c r="X36" s="6">
        <f>IF(ISERROR(VLOOKUP($U$36,'TAR FIN'!$A$1:$O$85,15,0)),0,VLOOKUP($U$36,'TAR FIN'!$A$1:$O$85,15,0))</f>
        <v>212.41</v>
      </c>
      <c r="Y36" s="6"/>
      <c r="Z36" s="6">
        <f ca="1">('TUSD BE'!$AM$33+'TUSD BF'!$AM$33+'TUSD CVA'!$AM$33)*(1-CUSTOS!$M$38)</f>
        <v>262.76076138596557</v>
      </c>
      <c r="AA36" s="6">
        <f>('TE BE'!$AB$23+'TE BF'!$AB$23+'TE CVA'!$AB$23)*(1-CUSTOS!$M$38)</f>
        <v>225.51648678666589</v>
      </c>
      <c r="AB36" s="6">
        <f t="shared" si="4"/>
        <v>0</v>
      </c>
      <c r="AC36" s="6">
        <f>(L36-M36)*(W36+X36)+($W$2+$X$2-$W$36-$X$36)*(L36)</f>
        <v>3267.8236500000003</v>
      </c>
      <c r="AD36" s="6">
        <f t="shared" si="5"/>
        <v>0</v>
      </c>
      <c r="AE36" s="6">
        <f ca="1">(L36-M36)*(Z36+AA36)+($Z$2+$AA$2-$Z$36-$AA$36)*(L36)</f>
        <v>1830.1358482943735</v>
      </c>
      <c r="AF36" s="4" t="s">
        <v>525</v>
      </c>
    </row>
    <row r="37" spans="1:32" ht="11.25" customHeight="1" x14ac:dyDescent="0.25">
      <c r="A37" s="4" t="s">
        <v>21</v>
      </c>
      <c r="B37" s="4" t="s">
        <v>39</v>
      </c>
      <c r="C37" s="4" t="s">
        <v>23</v>
      </c>
      <c r="D37" s="4" t="s">
        <v>40</v>
      </c>
      <c r="E37" s="4" t="s">
        <v>25</v>
      </c>
      <c r="F37" s="4" t="s">
        <v>25</v>
      </c>
      <c r="G37" s="4" t="s">
        <v>25</v>
      </c>
      <c r="H37" s="4" t="s">
        <v>25</v>
      </c>
      <c r="I37" s="5">
        <v>44682</v>
      </c>
      <c r="J37" s="6">
        <v>0</v>
      </c>
      <c r="K37" s="6">
        <v>0</v>
      </c>
      <c r="L37" s="6">
        <v>51.926000000000002</v>
      </c>
      <c r="M37" s="6">
        <v>51.926000000000002</v>
      </c>
      <c r="N37" s="6">
        <v>51.926000000000002</v>
      </c>
      <c r="O37" s="6">
        <v>51.926000000000002</v>
      </c>
      <c r="P37" s="6">
        <v>159</v>
      </c>
      <c r="Q37" s="4" t="s">
        <v>26</v>
      </c>
      <c r="R37" s="4">
        <v>0</v>
      </c>
      <c r="S37" s="4">
        <v>0</v>
      </c>
      <c r="T37" s="4">
        <v>33</v>
      </c>
      <c r="U37" s="4">
        <v>66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195.69</v>
      </c>
      <c r="X37" s="6">
        <f>IF(ISERROR(VLOOKUP($U$37,'TAR FIN'!$A$1:$O$85,15,0)),0,VLOOKUP($U$37,'TAR FIN'!$A$1:$O$85,15,0))</f>
        <v>212.41</v>
      </c>
      <c r="Y37" s="6"/>
      <c r="Z37" s="6">
        <f ca="1">('TUSD BE'!$AM$33+'TUSD BF'!$AM$33+'TUSD CVA'!$AM$33)*(1-CUSTOS!$M$38)</f>
        <v>262.76076138596557</v>
      </c>
      <c r="AA37" s="6">
        <f>('TE BE'!$AB$23+'TE BF'!$AB$23+'TE CVA'!$AB$23)*(1-CUSTOS!$M$38)</f>
        <v>225.51648678666589</v>
      </c>
      <c r="AB37" s="6">
        <f t="shared" si="4"/>
        <v>0</v>
      </c>
      <c r="AC37" s="6">
        <f>(L37-M37)*(W37+X37)+($W$2+$X$2-$W$37-$X$37)*(L37)</f>
        <v>2889.6819000000005</v>
      </c>
      <c r="AD37" s="6">
        <f t="shared" si="5"/>
        <v>0</v>
      </c>
      <c r="AE37" s="6">
        <f ca="1">(L37-M37)*(Z37+AA37)+($Z$2+$AA$2-$Z$37-$AA$37)*(L37)</f>
        <v>1618.3585779965199</v>
      </c>
      <c r="AF37" s="4" t="s">
        <v>525</v>
      </c>
    </row>
    <row r="38" spans="1:32" ht="11.25" customHeight="1" x14ac:dyDescent="0.25">
      <c r="A38" s="4" t="s">
        <v>21</v>
      </c>
      <c r="B38" s="4" t="s">
        <v>39</v>
      </c>
      <c r="C38" s="4" t="s">
        <v>23</v>
      </c>
      <c r="D38" s="4" t="s">
        <v>40</v>
      </c>
      <c r="E38" s="4" t="s">
        <v>25</v>
      </c>
      <c r="F38" s="4" t="s">
        <v>25</v>
      </c>
      <c r="G38" s="4" t="s">
        <v>25</v>
      </c>
      <c r="H38" s="4" t="s">
        <v>25</v>
      </c>
      <c r="I38" s="5">
        <v>44713</v>
      </c>
      <c r="J38" s="6">
        <v>0</v>
      </c>
      <c r="K38" s="6">
        <v>0</v>
      </c>
      <c r="L38" s="6">
        <v>54.735999999999997</v>
      </c>
      <c r="M38" s="6">
        <v>54.735999999999997</v>
      </c>
      <c r="N38" s="6">
        <v>54.735999999999997</v>
      </c>
      <c r="O38" s="6">
        <v>54.735999999999997</v>
      </c>
      <c r="P38" s="6">
        <v>158</v>
      </c>
      <c r="Q38" s="4" t="s">
        <v>26</v>
      </c>
      <c r="R38" s="4">
        <v>0</v>
      </c>
      <c r="S38" s="4">
        <v>0</v>
      </c>
      <c r="T38" s="4">
        <v>33</v>
      </c>
      <c r="U38" s="4">
        <v>66</v>
      </c>
      <c r="V38" s="6">
        <f>IF(ISERROR(VLOOKUP($S$38,'TAR FIN'!$A$1:$O$85,15,0)),0,VLOOKUP($S$38,'TAR FIN'!$A$1:$O$85,15,0))</f>
        <v>0</v>
      </c>
      <c r="W38" s="6">
        <f>IF(ISERROR(VLOOKUP($T$38,'TAR FIN'!$A$1:$O$85,15,0)),0,VLOOKUP($T$38,'TAR FIN'!$A$1:$O$85,15,0))</f>
        <v>195.69</v>
      </c>
      <c r="X38" s="6">
        <f>IF(ISERROR(VLOOKUP($U$38,'TAR FIN'!$A$1:$O$85,15,0)),0,VLOOKUP($U$38,'TAR FIN'!$A$1:$O$85,15,0))</f>
        <v>212.41</v>
      </c>
      <c r="Y38" s="6"/>
      <c r="Z38" s="6">
        <f ca="1">('TUSD BE'!$AM$33+'TUSD BF'!$AM$33+'TUSD CVA'!$AM$33)*(1-CUSTOS!$M$38)</f>
        <v>262.76076138596557</v>
      </c>
      <c r="AA38" s="6">
        <f>('TE BE'!$AB$23+'TE BF'!$AB$23+'TE CVA'!$AB$23)*(1-CUSTOS!$M$38)</f>
        <v>225.51648678666589</v>
      </c>
      <c r="AB38" s="6">
        <f t="shared" si="4"/>
        <v>0</v>
      </c>
      <c r="AC38" s="6">
        <f>(L38-M38)*(W38+X38)+($W$2+$X$2-$W$38-$X$38)*(L38)</f>
        <v>3046.0584000000003</v>
      </c>
      <c r="AD38" s="6">
        <f t="shared" si="5"/>
        <v>0</v>
      </c>
      <c r="AE38" s="6">
        <f ca="1">(L38-M38)*(Z38+AA38)+($Z$2+$AA$2-$Z$38-$AA$38)*(L38)</f>
        <v>1705.9368163389729</v>
      </c>
      <c r="AF38" s="4" t="s">
        <v>525</v>
      </c>
    </row>
    <row r="39" spans="1:32" ht="11.25" customHeight="1" x14ac:dyDescent="0.25">
      <c r="A39" s="4" t="s">
        <v>21</v>
      </c>
      <c r="B39" s="4" t="s">
        <v>39</v>
      </c>
      <c r="C39" s="4" t="s">
        <v>23</v>
      </c>
      <c r="D39" s="4" t="s">
        <v>40</v>
      </c>
      <c r="E39" s="4" t="s">
        <v>25</v>
      </c>
      <c r="F39" s="4" t="s">
        <v>25</v>
      </c>
      <c r="G39" s="4" t="s">
        <v>25</v>
      </c>
      <c r="H39" s="4" t="s">
        <v>25</v>
      </c>
      <c r="I39" s="5">
        <v>44743</v>
      </c>
      <c r="J39" s="6">
        <v>0</v>
      </c>
      <c r="K39" s="6">
        <v>0</v>
      </c>
      <c r="L39" s="6">
        <v>53.656999999999996</v>
      </c>
      <c r="M39" s="6">
        <v>53.656999999999996</v>
      </c>
      <c r="N39" s="6">
        <v>53.656999999999996</v>
      </c>
      <c r="O39" s="6">
        <v>53.656999999999996</v>
      </c>
      <c r="P39" s="6">
        <v>158</v>
      </c>
      <c r="Q39" s="4" t="s">
        <v>26</v>
      </c>
      <c r="R39" s="4">
        <v>0</v>
      </c>
      <c r="S39" s="4">
        <v>0</v>
      </c>
      <c r="T39" s="4">
        <v>33</v>
      </c>
      <c r="U39" s="4">
        <v>66</v>
      </c>
      <c r="V39" s="6">
        <f>IF(ISERROR(VLOOKUP($S$39,'TAR FIN'!$A$1:$O$85,15,0)),0,VLOOKUP($S$39,'TAR FIN'!$A$1:$O$85,15,0))</f>
        <v>0</v>
      </c>
      <c r="W39" s="6">
        <f>IF(ISERROR(VLOOKUP($T$39,'TAR FIN'!$A$1:$O$85,15,0)),0,VLOOKUP($T$39,'TAR FIN'!$A$1:$O$85,15,0))</f>
        <v>195.69</v>
      </c>
      <c r="X39" s="6">
        <f>IF(ISERROR(VLOOKUP($U$39,'TAR FIN'!$A$1:$O$85,15,0)),0,VLOOKUP($U$39,'TAR FIN'!$A$1:$O$85,15,0))</f>
        <v>212.41</v>
      </c>
      <c r="Y39" s="6"/>
      <c r="Z39" s="6">
        <f ca="1">('TUSD BE'!$AM$33+'TUSD BF'!$AM$33+'TUSD CVA'!$AM$33)*(1-CUSTOS!$M$38)</f>
        <v>262.76076138596557</v>
      </c>
      <c r="AA39" s="6">
        <f>('TE BE'!$AB$23+'TE BF'!$AB$23+'TE CVA'!$AB$23)*(1-CUSTOS!$M$38)</f>
        <v>225.51648678666589</v>
      </c>
      <c r="AB39" s="6">
        <f t="shared" si="4"/>
        <v>0</v>
      </c>
      <c r="AC39" s="6">
        <f>(L39-M39)*(W39+X39)+($W$2+$X$2-$W$39-$X$39)*(L39)</f>
        <v>2986.0120500000003</v>
      </c>
      <c r="AD39" s="6">
        <f t="shared" si="5"/>
        <v>0</v>
      </c>
      <c r="AE39" s="6">
        <f ca="1">(L39-M39)*(Z39+AA39)+($Z$2+$AA$2-$Z$39-$AA$39)*(L39)</f>
        <v>1672.3080194807853</v>
      </c>
      <c r="AF39" s="4" t="s">
        <v>525</v>
      </c>
    </row>
    <row r="40" spans="1:32" ht="11.25" customHeight="1" x14ac:dyDescent="0.25">
      <c r="A40" s="4" t="s">
        <v>21</v>
      </c>
      <c r="B40" s="4" t="s">
        <v>39</v>
      </c>
      <c r="C40" s="4" t="s">
        <v>23</v>
      </c>
      <c r="D40" s="4" t="s">
        <v>40</v>
      </c>
      <c r="E40" s="4" t="s">
        <v>25</v>
      </c>
      <c r="F40" s="4" t="s">
        <v>25</v>
      </c>
      <c r="G40" s="4" t="s">
        <v>25</v>
      </c>
      <c r="H40" s="4" t="s">
        <v>25</v>
      </c>
      <c r="I40" s="5">
        <v>44774</v>
      </c>
      <c r="J40" s="6">
        <v>0</v>
      </c>
      <c r="K40" s="6">
        <v>0</v>
      </c>
      <c r="L40" s="6">
        <v>52.451999999999998</v>
      </c>
      <c r="M40" s="6">
        <v>52.451999999999998</v>
      </c>
      <c r="N40" s="6">
        <v>52.451999999999998</v>
      </c>
      <c r="O40" s="6">
        <v>52.451999999999998</v>
      </c>
      <c r="P40" s="6">
        <v>158</v>
      </c>
      <c r="Q40" s="4" t="s">
        <v>26</v>
      </c>
      <c r="R40" s="4">
        <v>0</v>
      </c>
      <c r="S40" s="4">
        <v>0</v>
      </c>
      <c r="T40" s="4">
        <v>33</v>
      </c>
      <c r="U40" s="4">
        <v>66</v>
      </c>
      <c r="V40" s="6">
        <f>IF(ISERROR(VLOOKUP($S$40,'TAR FIN'!$A$1:$O$85,15,0)),0,VLOOKUP($S$40,'TAR FIN'!$A$1:$O$85,15,0))</f>
        <v>0</v>
      </c>
      <c r="W40" s="6">
        <f>IF(ISERROR(VLOOKUP($T$40,'TAR FIN'!$A$1:$O$85,15,0)),0,VLOOKUP($T$40,'TAR FIN'!$A$1:$O$85,15,0))</f>
        <v>195.69</v>
      </c>
      <c r="X40" s="6">
        <f>IF(ISERROR(VLOOKUP($U$40,'TAR FIN'!$A$1:$O$85,15,0)),0,VLOOKUP($U$40,'TAR FIN'!$A$1:$O$85,15,0))</f>
        <v>212.41</v>
      </c>
      <c r="Y40" s="6"/>
      <c r="Z40" s="6">
        <f ca="1">('TUSD BE'!$AM$33+'TUSD BF'!$AM$33+'TUSD CVA'!$AM$33)*(1-CUSTOS!$M$38)</f>
        <v>262.76076138596557</v>
      </c>
      <c r="AA40" s="6">
        <f>('TE BE'!$AB$23+'TE BF'!$AB$23+'TE CVA'!$AB$23)*(1-CUSTOS!$M$38)</f>
        <v>225.51648678666589</v>
      </c>
      <c r="AB40" s="6">
        <f t="shared" si="4"/>
        <v>0</v>
      </c>
      <c r="AC40" s="6">
        <f>(L40-M40)*(W40+X40)+($W$2+$X$2-$W$40-$X$40)*(L40)</f>
        <v>2918.9538000000002</v>
      </c>
      <c r="AD40" s="6">
        <f t="shared" si="5"/>
        <v>0</v>
      </c>
      <c r="AE40" s="6">
        <f ca="1">(L40-M40)*(Z40+AA40)+($Z$2+$AA$2-$Z$40-$AA$40)*(L40)</f>
        <v>1634.7522268819755</v>
      </c>
      <c r="AF40" s="4" t="s">
        <v>525</v>
      </c>
    </row>
    <row r="41" spans="1:32" ht="11.25" customHeight="1" x14ac:dyDescent="0.25">
      <c r="A41" s="4" t="s">
        <v>21</v>
      </c>
      <c r="B41" s="4" t="s">
        <v>31</v>
      </c>
      <c r="C41" s="4" t="s">
        <v>23</v>
      </c>
      <c r="D41" s="4" t="s">
        <v>45</v>
      </c>
      <c r="E41" s="4" t="s">
        <v>46</v>
      </c>
      <c r="F41" s="4" t="s">
        <v>25</v>
      </c>
      <c r="G41" s="4" t="s">
        <v>25</v>
      </c>
      <c r="H41" s="4" t="s">
        <v>25</v>
      </c>
      <c r="I41" s="5">
        <v>44440</v>
      </c>
      <c r="J41" s="6">
        <v>0</v>
      </c>
      <c r="K41" s="52">
        <v>0</v>
      </c>
      <c r="L41" s="6">
        <v>1.109</v>
      </c>
      <c r="M41" s="52">
        <v>1.109</v>
      </c>
      <c r="N41" s="6">
        <v>1.109</v>
      </c>
      <c r="O41" s="52">
        <v>1.109</v>
      </c>
      <c r="P41" s="6">
        <v>2</v>
      </c>
      <c r="Q41" s="4" t="s">
        <v>26</v>
      </c>
      <c r="R41" s="4">
        <v>0</v>
      </c>
      <c r="S41" s="4">
        <v>0</v>
      </c>
      <c r="T41" s="4">
        <v>39</v>
      </c>
      <c r="U41" s="4">
        <v>80</v>
      </c>
      <c r="V41" s="52">
        <f>IF(ISERROR(VLOOKUP($S$41,'TAR FIN'!$A$1:$O$85,15,0)),0,VLOOKUP($S$41,'TAR FIN'!$A$1:$O$85,15,0))</f>
        <v>0</v>
      </c>
      <c r="W41" s="52">
        <f>IF(ISERROR(VLOOKUP($T$41,'TAR FIN'!$A$1:$O$85,15,0)),0,VLOOKUP($T$41,'TAR FIN'!$A$1:$O$85,15,0))*(1-0.06)</f>
        <v>209.03719999999998</v>
      </c>
      <c r="X41" s="52">
        <f>IF(ISERROR(VLOOKUP($U$41,'TAR FIN'!$A$1:$O$85,15,0)),0,VLOOKUP($U$41,'TAR FIN'!$A$1:$O$85,15,0))*(1-0.06)</f>
        <v>226.8878</v>
      </c>
      <c r="Y41" s="52"/>
      <c r="Z41" s="52">
        <f ca="1">('TUSD BE'!$AM$48+'TUSD BF'!$AM$48+'TUSD CVA'!$AM$48)*1*(1-0.03)</f>
        <v>271.14674313232621</v>
      </c>
      <c r="AA41" s="52">
        <f>('TE BE'!$AB$38+'TE BF'!$AB$38+'TE CVA'!$AB$38)*1*(1-0.03)</f>
        <v>232.71382147134673</v>
      </c>
      <c r="AB41" s="52">
        <f>(SUBSIDIO!$J$41*SUBSIDIO!$V$41)*(0.06)/(1-0.06)</f>
        <v>0</v>
      </c>
      <c r="AC41" s="52">
        <f>((SUBSIDIO!$L$41*SUBSIDIO!$W$41)+(SUBSIDIO!$N$41*SUBSIDIO!$X$41))*(0.06)/(1-0.06)</f>
        <v>30.857924999999998</v>
      </c>
      <c r="AD41" s="52">
        <f>(SUBSIDIO!$J$41*SUBSIDIO!$Y$41)*(0.03)/(1-0.03)</f>
        <v>0</v>
      </c>
      <c r="AE41" s="52">
        <f ca="1">((SUBSIDIO!$L$41*SUBSIDIO!$Z$41)+(SUBSIDIO!$N$41*SUBSIDIO!$AA$41))*(0.03)/(1-0.03)</f>
        <v>17.281897922024946</v>
      </c>
      <c r="AF41" s="4" t="s">
        <v>526</v>
      </c>
    </row>
    <row r="42" spans="1:32" ht="11.25" customHeight="1" x14ac:dyDescent="0.25">
      <c r="A42" s="4" t="s">
        <v>21</v>
      </c>
      <c r="B42" s="4" t="s">
        <v>31</v>
      </c>
      <c r="C42" s="4" t="s">
        <v>23</v>
      </c>
      <c r="D42" s="4" t="s">
        <v>45</v>
      </c>
      <c r="E42" s="4" t="s">
        <v>46</v>
      </c>
      <c r="F42" s="4" t="s">
        <v>25</v>
      </c>
      <c r="G42" s="4" t="s">
        <v>25</v>
      </c>
      <c r="H42" s="4" t="s">
        <v>25</v>
      </c>
      <c r="I42" s="5">
        <v>44470</v>
      </c>
      <c r="J42" s="6">
        <v>0</v>
      </c>
      <c r="K42" s="52">
        <v>0</v>
      </c>
      <c r="L42" s="6">
        <v>1.0189999999999999</v>
      </c>
      <c r="M42" s="52">
        <v>1.0189999999999999</v>
      </c>
      <c r="N42" s="6">
        <v>1.0189999999999999</v>
      </c>
      <c r="O42" s="52">
        <v>1.0189999999999999</v>
      </c>
      <c r="P42" s="6">
        <v>2</v>
      </c>
      <c r="Q42" s="4" t="s">
        <v>26</v>
      </c>
      <c r="R42" s="4">
        <v>0</v>
      </c>
      <c r="S42" s="4">
        <v>0</v>
      </c>
      <c r="T42" s="4">
        <v>39</v>
      </c>
      <c r="U42" s="4">
        <v>80</v>
      </c>
      <c r="V42" s="52">
        <f>IF(ISERROR(VLOOKUP($S$42,'TAR FIN'!$A$1:$O$85,15,0)),0,VLOOKUP($S$42,'TAR FIN'!$A$1:$O$85,15,0))</f>
        <v>0</v>
      </c>
      <c r="W42" s="52">
        <f>IF(ISERROR(VLOOKUP($T$42,'TAR FIN'!$A$1:$O$85,15,0)),0,VLOOKUP($T$42,'TAR FIN'!$A$1:$O$85,15,0))*(1-0.06)</f>
        <v>209.03719999999998</v>
      </c>
      <c r="X42" s="52">
        <f>IF(ISERROR(VLOOKUP($U$42,'TAR FIN'!$A$1:$O$85,15,0)),0,VLOOKUP($U$42,'TAR FIN'!$A$1:$O$85,15,0))*(1-0.06)</f>
        <v>226.8878</v>
      </c>
      <c r="Y42" s="52"/>
      <c r="Z42" s="52">
        <f ca="1">('TUSD BE'!$AM$48+'TUSD BF'!$AM$48+'TUSD CVA'!$AM$48)*1*(1-0.03)</f>
        <v>271.14674313232621</v>
      </c>
      <c r="AA42" s="52">
        <f>('TE BE'!$AB$38+'TE BF'!$AB$38+'TE CVA'!$AB$38)*1*(1-0.03)</f>
        <v>232.71382147134673</v>
      </c>
      <c r="AB42" s="52">
        <f>(SUBSIDIO!$J$42*SUBSIDIO!$V$42)*(0.06)/(1-0.06)</f>
        <v>0</v>
      </c>
      <c r="AC42" s="52">
        <f>((SUBSIDIO!$L$42*SUBSIDIO!$W$42)+(SUBSIDIO!$N$42*SUBSIDIO!$X$42))*(0.06)/(1-0.06)</f>
        <v>28.353674999999999</v>
      </c>
      <c r="AD42" s="52">
        <f>(SUBSIDIO!$J$42*SUBSIDIO!$Y$42)*(0.03)/(1-0.03)</f>
        <v>0</v>
      </c>
      <c r="AE42" s="52">
        <f ca="1">((SUBSIDIO!$L$42*SUBSIDIO!$Z$42)+(SUBSIDIO!$N$42*SUBSIDIO!$AA$42))*(0.03)/(1-0.03)</f>
        <v>15.879399443231216</v>
      </c>
      <c r="AF42" s="4" t="s">
        <v>526</v>
      </c>
    </row>
    <row r="43" spans="1:32" ht="11.25" customHeight="1" x14ac:dyDescent="0.25">
      <c r="A43" s="4" t="s">
        <v>21</v>
      </c>
      <c r="B43" s="4" t="s">
        <v>31</v>
      </c>
      <c r="C43" s="4" t="s">
        <v>23</v>
      </c>
      <c r="D43" s="4" t="s">
        <v>45</v>
      </c>
      <c r="E43" s="4" t="s">
        <v>46</v>
      </c>
      <c r="F43" s="4" t="s">
        <v>25</v>
      </c>
      <c r="G43" s="4" t="s">
        <v>25</v>
      </c>
      <c r="H43" s="4" t="s">
        <v>25</v>
      </c>
      <c r="I43" s="5">
        <v>44501</v>
      </c>
      <c r="J43" s="6">
        <v>0</v>
      </c>
      <c r="K43" s="52">
        <v>0</v>
      </c>
      <c r="L43" s="6">
        <v>1.0860000000000001</v>
      </c>
      <c r="M43" s="52">
        <v>1.0860000000000001</v>
      </c>
      <c r="N43" s="6">
        <v>1.0860000000000001</v>
      </c>
      <c r="O43" s="52">
        <v>1.0860000000000001</v>
      </c>
      <c r="P43" s="6">
        <v>2</v>
      </c>
      <c r="Q43" s="4" t="s">
        <v>26</v>
      </c>
      <c r="R43" s="4">
        <v>0</v>
      </c>
      <c r="S43" s="4">
        <v>0</v>
      </c>
      <c r="T43" s="4">
        <v>39</v>
      </c>
      <c r="U43" s="4">
        <v>80</v>
      </c>
      <c r="V43" s="52">
        <f>IF(ISERROR(VLOOKUP($S$43,'TAR FIN'!$A$1:$O$85,15,0)),0,VLOOKUP($S$43,'TAR FIN'!$A$1:$O$85,15,0))</f>
        <v>0</v>
      </c>
      <c r="W43" s="52">
        <f>IF(ISERROR(VLOOKUP($T$43,'TAR FIN'!$A$1:$O$85,15,0)),0,VLOOKUP($T$43,'TAR FIN'!$A$1:$O$85,15,0))*(1-0.06)</f>
        <v>209.03719999999998</v>
      </c>
      <c r="X43" s="52">
        <f>IF(ISERROR(VLOOKUP($U$43,'TAR FIN'!$A$1:$O$85,15,0)),0,VLOOKUP($U$43,'TAR FIN'!$A$1:$O$85,15,0))*(1-0.06)</f>
        <v>226.8878</v>
      </c>
      <c r="Y43" s="52"/>
      <c r="Z43" s="52">
        <f ca="1">('TUSD BE'!$AM$48+'TUSD BF'!$AM$48+'TUSD CVA'!$AM$48)*1*(1-0.03)</f>
        <v>271.14674313232621</v>
      </c>
      <c r="AA43" s="52">
        <f>('TE BE'!$AB$38+'TE BF'!$AB$38+'TE CVA'!$AB$38)*1*(1-0.03)</f>
        <v>232.71382147134673</v>
      </c>
      <c r="AB43" s="52">
        <f>(SUBSIDIO!$J$43*SUBSIDIO!$V$43)*(0.06)/(1-0.06)</f>
        <v>0</v>
      </c>
      <c r="AC43" s="52">
        <f>((SUBSIDIO!$L$43*SUBSIDIO!$W$43)+(SUBSIDIO!$N$43*SUBSIDIO!$X$43))*(0.06)/(1-0.06)</f>
        <v>30.217950000000002</v>
      </c>
      <c r="AD43" s="52">
        <f>(SUBSIDIO!$J$43*SUBSIDIO!$Y$43)*(0.03)/(1-0.03)</f>
        <v>0</v>
      </c>
      <c r="AE43" s="52">
        <f ca="1">((SUBSIDIO!$L$43*SUBSIDIO!$Z$43)+(SUBSIDIO!$N$43*SUBSIDIO!$AA$43))*(0.03)/(1-0.03)</f>
        <v>16.923481644110996</v>
      </c>
      <c r="AF43" s="4" t="s">
        <v>526</v>
      </c>
    </row>
    <row r="44" spans="1:32" ht="11.25" customHeight="1" x14ac:dyDescent="0.25">
      <c r="A44" s="4" t="s">
        <v>21</v>
      </c>
      <c r="B44" s="4" t="s">
        <v>31</v>
      </c>
      <c r="C44" s="4" t="s">
        <v>23</v>
      </c>
      <c r="D44" s="4" t="s">
        <v>45</v>
      </c>
      <c r="E44" s="4" t="s">
        <v>46</v>
      </c>
      <c r="F44" s="4" t="s">
        <v>25</v>
      </c>
      <c r="G44" s="4" t="s">
        <v>25</v>
      </c>
      <c r="H44" s="4" t="s">
        <v>25</v>
      </c>
      <c r="I44" s="5">
        <v>44531</v>
      </c>
      <c r="J44" s="6">
        <v>0</v>
      </c>
      <c r="K44" s="52">
        <v>0</v>
      </c>
      <c r="L44" s="6">
        <v>1.2649999999999999</v>
      </c>
      <c r="M44" s="52">
        <v>1.2649999999999999</v>
      </c>
      <c r="N44" s="6">
        <v>1.2649999999999999</v>
      </c>
      <c r="O44" s="52">
        <v>1.2649999999999999</v>
      </c>
      <c r="P44" s="6">
        <v>2</v>
      </c>
      <c r="Q44" s="4" t="s">
        <v>26</v>
      </c>
      <c r="R44" s="4">
        <v>0</v>
      </c>
      <c r="S44" s="4">
        <v>0</v>
      </c>
      <c r="T44" s="4">
        <v>39</v>
      </c>
      <c r="U44" s="4">
        <v>80</v>
      </c>
      <c r="V44" s="52">
        <f>IF(ISERROR(VLOOKUP($S$44,'TAR FIN'!$A$1:$O$85,15,0)),0,VLOOKUP($S$44,'TAR FIN'!$A$1:$O$85,15,0))</f>
        <v>0</v>
      </c>
      <c r="W44" s="52">
        <f>IF(ISERROR(VLOOKUP($T$44,'TAR FIN'!$A$1:$O$85,15,0)),0,VLOOKUP($T$44,'TAR FIN'!$A$1:$O$85,15,0))*(1-0.06)</f>
        <v>209.03719999999998</v>
      </c>
      <c r="X44" s="52">
        <f>IF(ISERROR(VLOOKUP($U$44,'TAR FIN'!$A$1:$O$85,15,0)),0,VLOOKUP($U$44,'TAR FIN'!$A$1:$O$85,15,0))*(1-0.06)</f>
        <v>226.8878</v>
      </c>
      <c r="Y44" s="52"/>
      <c r="Z44" s="52">
        <f ca="1">('TUSD BE'!$AM$48+'TUSD BF'!$AM$48+'TUSD CVA'!$AM$48)*1*(1-0.03)</f>
        <v>271.14674313232621</v>
      </c>
      <c r="AA44" s="52">
        <f>('TE BE'!$AB$38+'TE BF'!$AB$38+'TE CVA'!$AB$38)*1*(1-0.03)</f>
        <v>232.71382147134673</v>
      </c>
      <c r="AB44" s="52">
        <f>(SUBSIDIO!$J$44*SUBSIDIO!$V$44)*(0.06)/(1-0.06)</f>
        <v>0</v>
      </c>
      <c r="AC44" s="52">
        <f>((SUBSIDIO!$L$44*SUBSIDIO!$W$44)+(SUBSIDIO!$N$44*SUBSIDIO!$X$44))*(0.06)/(1-0.06)</f>
        <v>35.198625</v>
      </c>
      <c r="AD44" s="52">
        <f>(SUBSIDIO!$J$44*SUBSIDIO!$Y$44)*(0.03)/(1-0.03)</f>
        <v>0</v>
      </c>
      <c r="AE44" s="52">
        <f ca="1">((SUBSIDIO!$L$44*SUBSIDIO!$Z$44)+(SUBSIDIO!$N$44*SUBSIDIO!$AA$44))*(0.03)/(1-0.03)</f>
        <v>19.712895285267408</v>
      </c>
      <c r="AF44" s="4" t="s">
        <v>526</v>
      </c>
    </row>
    <row r="45" spans="1:32" ht="11.25" customHeight="1" x14ac:dyDescent="0.25">
      <c r="A45" s="4" t="s">
        <v>21</v>
      </c>
      <c r="B45" s="4" t="s">
        <v>31</v>
      </c>
      <c r="C45" s="4" t="s">
        <v>23</v>
      </c>
      <c r="D45" s="4" t="s">
        <v>45</v>
      </c>
      <c r="E45" s="4" t="s">
        <v>46</v>
      </c>
      <c r="F45" s="4" t="s">
        <v>25</v>
      </c>
      <c r="G45" s="4" t="s">
        <v>25</v>
      </c>
      <c r="H45" s="4" t="s">
        <v>25</v>
      </c>
      <c r="I45" s="5">
        <v>44562</v>
      </c>
      <c r="J45" s="6">
        <v>0</v>
      </c>
      <c r="K45" s="52">
        <v>0</v>
      </c>
      <c r="L45" s="6">
        <v>1.216</v>
      </c>
      <c r="M45" s="52">
        <v>1.216</v>
      </c>
      <c r="N45" s="6">
        <v>1.216</v>
      </c>
      <c r="O45" s="52">
        <v>1.216</v>
      </c>
      <c r="P45" s="6">
        <v>2</v>
      </c>
      <c r="Q45" s="4" t="s">
        <v>26</v>
      </c>
      <c r="R45" s="4">
        <v>0</v>
      </c>
      <c r="S45" s="4">
        <v>0</v>
      </c>
      <c r="T45" s="4">
        <v>39</v>
      </c>
      <c r="U45" s="4">
        <v>80</v>
      </c>
      <c r="V45" s="52">
        <f>IF(ISERROR(VLOOKUP($S$45,'TAR FIN'!$A$1:$O$85,15,0)),0,VLOOKUP($S$45,'TAR FIN'!$A$1:$O$85,15,0))</f>
        <v>0</v>
      </c>
      <c r="W45" s="52">
        <f>IF(ISERROR(VLOOKUP($T$45,'TAR FIN'!$A$1:$O$85,15,0)),0,VLOOKUP($T$45,'TAR FIN'!$A$1:$O$85,15,0))*(1-0.06)</f>
        <v>209.03719999999998</v>
      </c>
      <c r="X45" s="52">
        <f>IF(ISERROR(VLOOKUP($U$45,'TAR FIN'!$A$1:$O$85,15,0)),0,VLOOKUP($U$45,'TAR FIN'!$A$1:$O$85,15,0))*(1-0.06)</f>
        <v>226.8878</v>
      </c>
      <c r="Y45" s="52"/>
      <c r="Z45" s="52">
        <f ca="1">('TUSD BE'!$AM$48+'TUSD BF'!$AM$48+'TUSD CVA'!$AM$48)*1*(1-0.03)</f>
        <v>271.14674313232621</v>
      </c>
      <c r="AA45" s="52">
        <f>('TE BE'!$AB$38+'TE BF'!$AB$38+'TE CVA'!$AB$38)*1*(1-0.03)</f>
        <v>232.71382147134673</v>
      </c>
      <c r="AB45" s="52">
        <f>(SUBSIDIO!$J$45*SUBSIDIO!$V$45)*(0.06)/(1-0.06)</f>
        <v>0</v>
      </c>
      <c r="AC45" s="52">
        <f>((SUBSIDIO!$L$45*SUBSIDIO!$W$45)+(SUBSIDIO!$N$45*SUBSIDIO!$X$45))*(0.06)/(1-0.06)</f>
        <v>33.8352</v>
      </c>
      <c r="AD45" s="52">
        <f>(SUBSIDIO!$J$45*SUBSIDIO!$Y$45)*(0.03)/(1-0.03)</f>
        <v>0</v>
      </c>
      <c r="AE45" s="52">
        <f ca="1">((SUBSIDIO!$L$45*SUBSIDIO!$Z$45)+(SUBSIDIO!$N$45*SUBSIDIO!$AA$45))*(0.03)/(1-0.03)</f>
        <v>18.949312780146379</v>
      </c>
      <c r="AF45" s="4" t="s">
        <v>526</v>
      </c>
    </row>
    <row r="46" spans="1:32" ht="11.25" customHeight="1" x14ac:dyDescent="0.25">
      <c r="A46" s="4" t="s">
        <v>21</v>
      </c>
      <c r="B46" s="4" t="s">
        <v>31</v>
      </c>
      <c r="C46" s="4" t="s">
        <v>23</v>
      </c>
      <c r="D46" s="4" t="s">
        <v>45</v>
      </c>
      <c r="E46" s="4" t="s">
        <v>46</v>
      </c>
      <c r="F46" s="4" t="s">
        <v>25</v>
      </c>
      <c r="G46" s="4" t="s">
        <v>25</v>
      </c>
      <c r="H46" s="4" t="s">
        <v>25</v>
      </c>
      <c r="I46" s="5">
        <v>44621</v>
      </c>
      <c r="J46" s="6">
        <v>0</v>
      </c>
      <c r="K46" s="52">
        <v>0</v>
      </c>
      <c r="L46" s="6">
        <v>1.1000000000000001</v>
      </c>
      <c r="M46" s="52">
        <v>1.1000000000000001</v>
      </c>
      <c r="N46" s="6">
        <v>1.1000000000000001</v>
      </c>
      <c r="O46" s="52">
        <v>1.1000000000000001</v>
      </c>
      <c r="P46" s="6">
        <v>2</v>
      </c>
      <c r="Q46" s="4" t="s">
        <v>26</v>
      </c>
      <c r="R46" s="4">
        <v>0</v>
      </c>
      <c r="S46" s="4">
        <v>0</v>
      </c>
      <c r="T46" s="4">
        <v>39</v>
      </c>
      <c r="U46" s="4">
        <v>80</v>
      </c>
      <c r="V46" s="52">
        <f>IF(ISERROR(VLOOKUP($S$46,'TAR FIN'!$A$1:$O$85,15,0)),0,VLOOKUP($S$46,'TAR FIN'!$A$1:$O$85,15,0))</f>
        <v>0</v>
      </c>
      <c r="W46" s="52">
        <f>IF(ISERROR(VLOOKUP($T$46,'TAR FIN'!$A$1:$O$85,15,0)),0,VLOOKUP($T$46,'TAR FIN'!$A$1:$O$85,15,0))*(1-0.06)</f>
        <v>209.03719999999998</v>
      </c>
      <c r="X46" s="52">
        <f>IF(ISERROR(VLOOKUP($U$46,'TAR FIN'!$A$1:$O$85,15,0)),0,VLOOKUP($U$46,'TAR FIN'!$A$1:$O$85,15,0))*(1-0.06)</f>
        <v>226.8878</v>
      </c>
      <c r="Y46" s="52"/>
      <c r="Z46" s="52">
        <f ca="1">('TUSD BE'!$AM$48+'TUSD BF'!$AM$48+'TUSD CVA'!$AM$48)*1*(1-0.03)</f>
        <v>271.14674313232621</v>
      </c>
      <c r="AA46" s="52">
        <f>('TE BE'!$AB$38+'TE BF'!$AB$38+'TE CVA'!$AB$38)*1*(1-0.03)</f>
        <v>232.71382147134673</v>
      </c>
      <c r="AB46" s="52">
        <f>(SUBSIDIO!$J$46*SUBSIDIO!$V$46)*(0.06)/(1-0.06)</f>
        <v>0</v>
      </c>
      <c r="AC46" s="52">
        <f>((SUBSIDIO!$L$46*SUBSIDIO!$W$46)+(SUBSIDIO!$N$46*SUBSIDIO!$X$46))*(0.06)/(1-0.06)</f>
        <v>30.607500000000005</v>
      </c>
      <c r="AD46" s="52">
        <f>(SUBSIDIO!$J$46*SUBSIDIO!$Y$46)*(0.03)/(1-0.03)</f>
        <v>0</v>
      </c>
      <c r="AE46" s="52">
        <f ca="1">((SUBSIDIO!$L$46*SUBSIDIO!$Z$46)+(SUBSIDIO!$N$46*SUBSIDIO!$AA$46))*(0.03)/(1-0.03)</f>
        <v>17.141648074145575</v>
      </c>
      <c r="AF46" s="4" t="s">
        <v>526</v>
      </c>
    </row>
    <row r="47" spans="1:32" ht="11.25" customHeight="1" x14ac:dyDescent="0.25">
      <c r="A47" s="4" t="s">
        <v>21</v>
      </c>
      <c r="B47" s="4" t="s">
        <v>31</v>
      </c>
      <c r="C47" s="4" t="s">
        <v>23</v>
      </c>
      <c r="D47" s="4" t="s">
        <v>45</v>
      </c>
      <c r="E47" s="4" t="s">
        <v>46</v>
      </c>
      <c r="F47" s="4" t="s">
        <v>25</v>
      </c>
      <c r="G47" s="4" t="s">
        <v>25</v>
      </c>
      <c r="H47" s="4" t="s">
        <v>25</v>
      </c>
      <c r="I47" s="5">
        <v>44652</v>
      </c>
      <c r="J47" s="6">
        <v>0</v>
      </c>
      <c r="K47" s="52">
        <v>0</v>
      </c>
      <c r="L47" s="6">
        <v>1.2410000000000001</v>
      </c>
      <c r="M47" s="52">
        <v>1.2410000000000001</v>
      </c>
      <c r="N47" s="6">
        <v>1.2410000000000001</v>
      </c>
      <c r="O47" s="52">
        <v>1.2410000000000001</v>
      </c>
      <c r="P47" s="6">
        <v>2</v>
      </c>
      <c r="Q47" s="4" t="s">
        <v>26</v>
      </c>
      <c r="R47" s="4">
        <v>0</v>
      </c>
      <c r="S47" s="4">
        <v>0</v>
      </c>
      <c r="T47" s="4">
        <v>39</v>
      </c>
      <c r="U47" s="4">
        <v>80</v>
      </c>
      <c r="V47" s="52">
        <f>IF(ISERROR(VLOOKUP($S$47,'TAR FIN'!$A$1:$O$85,15,0)),0,VLOOKUP($S$47,'TAR FIN'!$A$1:$O$85,15,0))</f>
        <v>0</v>
      </c>
      <c r="W47" s="52">
        <f>IF(ISERROR(VLOOKUP($T$47,'TAR FIN'!$A$1:$O$85,15,0)),0,VLOOKUP($T$47,'TAR FIN'!$A$1:$O$85,15,0))*(1-0.06)</f>
        <v>209.03719999999998</v>
      </c>
      <c r="X47" s="52">
        <f>IF(ISERROR(VLOOKUP($U$47,'TAR FIN'!$A$1:$O$85,15,0)),0,VLOOKUP($U$47,'TAR FIN'!$A$1:$O$85,15,0))*(1-0.06)</f>
        <v>226.8878</v>
      </c>
      <c r="Y47" s="52"/>
      <c r="Z47" s="52">
        <f ca="1">('TUSD BE'!$AM$48+'TUSD BF'!$AM$48+'TUSD CVA'!$AM$48)*1*(1-0.03)</f>
        <v>271.14674313232621</v>
      </c>
      <c r="AA47" s="52">
        <f>('TE BE'!$AB$38+'TE BF'!$AB$38+'TE CVA'!$AB$38)*1*(1-0.03)</f>
        <v>232.71382147134673</v>
      </c>
      <c r="AB47" s="52">
        <f>(SUBSIDIO!$J$47*SUBSIDIO!$V$47)*(0.06)/(1-0.06)</f>
        <v>0</v>
      </c>
      <c r="AC47" s="52">
        <f>((SUBSIDIO!$L$47*SUBSIDIO!$W$47)+(SUBSIDIO!$N$47*SUBSIDIO!$X$47))*(0.06)/(1-0.06)</f>
        <v>34.530825</v>
      </c>
      <c r="AD47" s="52">
        <f>(SUBSIDIO!$J$47*SUBSIDIO!$Y$47)*(0.03)/(1-0.03)</f>
        <v>0</v>
      </c>
      <c r="AE47" s="52">
        <f ca="1">((SUBSIDIO!$L$47*SUBSIDIO!$Z$47)+(SUBSIDIO!$N$47*SUBSIDIO!$AA$47))*(0.03)/(1-0.03)</f>
        <v>19.338895690922421</v>
      </c>
      <c r="AF47" s="4" t="s">
        <v>526</v>
      </c>
    </row>
    <row r="48" spans="1:32" ht="11.25" customHeight="1" x14ac:dyDescent="0.25">
      <c r="A48" s="4" t="s">
        <v>21</v>
      </c>
      <c r="B48" s="4" t="s">
        <v>31</v>
      </c>
      <c r="C48" s="4" t="s">
        <v>23</v>
      </c>
      <c r="D48" s="4" t="s">
        <v>45</v>
      </c>
      <c r="E48" s="4" t="s">
        <v>46</v>
      </c>
      <c r="F48" s="4" t="s">
        <v>25</v>
      </c>
      <c r="G48" s="4" t="s">
        <v>25</v>
      </c>
      <c r="H48" s="4" t="s">
        <v>25</v>
      </c>
      <c r="I48" s="5">
        <v>44682</v>
      </c>
      <c r="J48" s="6">
        <v>0</v>
      </c>
      <c r="K48" s="52">
        <v>0</v>
      </c>
      <c r="L48" s="6">
        <v>1.1399999999999999</v>
      </c>
      <c r="M48" s="52">
        <v>1.1399999999999999</v>
      </c>
      <c r="N48" s="6">
        <v>1.1399999999999999</v>
      </c>
      <c r="O48" s="52">
        <v>1.1399999999999999</v>
      </c>
      <c r="P48" s="6">
        <v>2</v>
      </c>
      <c r="Q48" s="4" t="s">
        <v>26</v>
      </c>
      <c r="R48" s="4">
        <v>0</v>
      </c>
      <c r="S48" s="4">
        <v>0</v>
      </c>
      <c r="T48" s="4">
        <v>39</v>
      </c>
      <c r="U48" s="4">
        <v>80</v>
      </c>
      <c r="V48" s="52">
        <f>IF(ISERROR(VLOOKUP($S$48,'TAR FIN'!$A$1:$O$85,15,0)),0,VLOOKUP($S$48,'TAR FIN'!$A$1:$O$85,15,0))</f>
        <v>0</v>
      </c>
      <c r="W48" s="52">
        <f>IF(ISERROR(VLOOKUP($T$48,'TAR FIN'!$A$1:$O$85,15,0)),0,VLOOKUP($T$48,'TAR FIN'!$A$1:$O$85,15,0))*(1-0.06)</f>
        <v>209.03719999999998</v>
      </c>
      <c r="X48" s="52">
        <f>IF(ISERROR(VLOOKUP($U$48,'TAR FIN'!$A$1:$O$85,15,0)),0,VLOOKUP($U$48,'TAR FIN'!$A$1:$O$85,15,0))*(1-0.06)</f>
        <v>226.8878</v>
      </c>
      <c r="Y48" s="52"/>
      <c r="Z48" s="52">
        <f ca="1">('TUSD BE'!$AM$48+'TUSD BF'!$AM$48+'TUSD CVA'!$AM$48)*1*(1-0.03)</f>
        <v>271.14674313232621</v>
      </c>
      <c r="AA48" s="52">
        <f>('TE BE'!$AB$38+'TE BF'!$AB$38+'TE CVA'!$AB$38)*1*(1-0.03)</f>
        <v>232.71382147134673</v>
      </c>
      <c r="AB48" s="52">
        <f>(SUBSIDIO!$J$48*SUBSIDIO!$V$48)*(0.06)/(1-0.06)</f>
        <v>0</v>
      </c>
      <c r="AC48" s="52">
        <f>((SUBSIDIO!$L$48*SUBSIDIO!$W$48)+(SUBSIDIO!$N$48*SUBSIDIO!$X$48))*(0.06)/(1-0.06)</f>
        <v>31.720499999999994</v>
      </c>
      <c r="AD48" s="52">
        <f>(SUBSIDIO!$J$48*SUBSIDIO!$Y$48)*(0.03)/(1-0.03)</f>
        <v>0</v>
      </c>
      <c r="AE48" s="52">
        <f ca="1">((SUBSIDIO!$L$48*SUBSIDIO!$Z$48)+(SUBSIDIO!$N$48*SUBSIDIO!$AA$48))*(0.03)/(1-0.03)</f>
        <v>17.764980731387229</v>
      </c>
      <c r="AF48" s="4" t="s">
        <v>526</v>
      </c>
    </row>
    <row r="49" spans="1:32" ht="11.25" customHeight="1" x14ac:dyDescent="0.25">
      <c r="A49" s="4" t="s">
        <v>21</v>
      </c>
      <c r="B49" s="4" t="s">
        <v>31</v>
      </c>
      <c r="C49" s="4" t="s">
        <v>23</v>
      </c>
      <c r="D49" s="4" t="s">
        <v>45</v>
      </c>
      <c r="E49" s="4" t="s">
        <v>46</v>
      </c>
      <c r="F49" s="4" t="s">
        <v>25</v>
      </c>
      <c r="G49" s="4" t="s">
        <v>25</v>
      </c>
      <c r="H49" s="4" t="s">
        <v>25</v>
      </c>
      <c r="I49" s="5">
        <v>44713</v>
      </c>
      <c r="J49" s="6">
        <v>0</v>
      </c>
      <c r="K49" s="52">
        <v>0</v>
      </c>
      <c r="L49" s="6">
        <v>1.264</v>
      </c>
      <c r="M49" s="52">
        <v>1.264</v>
      </c>
      <c r="N49" s="6">
        <v>1.264</v>
      </c>
      <c r="O49" s="52">
        <v>1.264</v>
      </c>
      <c r="P49" s="6">
        <v>2</v>
      </c>
      <c r="Q49" s="4" t="s">
        <v>26</v>
      </c>
      <c r="R49" s="4">
        <v>0</v>
      </c>
      <c r="S49" s="4">
        <v>0</v>
      </c>
      <c r="T49" s="4">
        <v>39</v>
      </c>
      <c r="U49" s="4">
        <v>80</v>
      </c>
      <c r="V49" s="52">
        <f>IF(ISERROR(VLOOKUP($S$49,'TAR FIN'!$A$1:$O$85,15,0)),0,VLOOKUP($S$49,'TAR FIN'!$A$1:$O$85,15,0))</f>
        <v>0</v>
      </c>
      <c r="W49" s="52">
        <f>IF(ISERROR(VLOOKUP($T$49,'TAR FIN'!$A$1:$O$85,15,0)),0,VLOOKUP($T$49,'TAR FIN'!$A$1:$O$85,15,0))*(1-0.06)</f>
        <v>209.03719999999998</v>
      </c>
      <c r="X49" s="52">
        <f>IF(ISERROR(VLOOKUP($U$49,'TAR FIN'!$A$1:$O$85,15,0)),0,VLOOKUP($U$49,'TAR FIN'!$A$1:$O$85,15,0))*(1-0.06)</f>
        <v>226.8878</v>
      </c>
      <c r="Y49" s="52"/>
      <c r="Z49" s="52">
        <f ca="1">('TUSD BE'!$AM$48+'TUSD BF'!$AM$48+'TUSD CVA'!$AM$48)*1*(1-0.03)</f>
        <v>271.14674313232621</v>
      </c>
      <c r="AA49" s="52">
        <f>('TE BE'!$AB$38+'TE BF'!$AB$38+'TE CVA'!$AB$38)*1*(1-0.03)</f>
        <v>232.71382147134673</v>
      </c>
      <c r="AB49" s="52">
        <f>(SUBSIDIO!$J$49*SUBSIDIO!$V$49)*(0.06)/(1-0.06)</f>
        <v>0</v>
      </c>
      <c r="AC49" s="52">
        <f>((SUBSIDIO!$L$49*SUBSIDIO!$W$49)+(SUBSIDIO!$N$49*SUBSIDIO!$X$49))*(0.06)/(1-0.06)</f>
        <v>35.170799999999993</v>
      </c>
      <c r="AD49" s="52">
        <f>(SUBSIDIO!$J$49*SUBSIDIO!$Y$49)*(0.03)/(1-0.03)</f>
        <v>0</v>
      </c>
      <c r="AE49" s="52">
        <f ca="1">((SUBSIDIO!$L$49*SUBSIDIO!$Z$49)+(SUBSIDIO!$N$49*SUBSIDIO!$AA$49))*(0.03)/(1-0.03)</f>
        <v>19.697311968836367</v>
      </c>
      <c r="AF49" s="4" t="s">
        <v>526</v>
      </c>
    </row>
    <row r="50" spans="1:32" ht="11.25" customHeight="1" x14ac:dyDescent="0.25">
      <c r="A50" s="4" t="s">
        <v>21</v>
      </c>
      <c r="B50" s="4" t="s">
        <v>31</v>
      </c>
      <c r="C50" s="4" t="s">
        <v>23</v>
      </c>
      <c r="D50" s="4" t="s">
        <v>45</v>
      </c>
      <c r="E50" s="4" t="s">
        <v>46</v>
      </c>
      <c r="F50" s="4" t="s">
        <v>25</v>
      </c>
      <c r="G50" s="4" t="s">
        <v>25</v>
      </c>
      <c r="H50" s="4" t="s">
        <v>25</v>
      </c>
      <c r="I50" s="5">
        <v>44743</v>
      </c>
      <c r="J50" s="6">
        <v>0</v>
      </c>
      <c r="K50" s="52">
        <v>0</v>
      </c>
      <c r="L50" s="6">
        <v>1.173</v>
      </c>
      <c r="M50" s="52">
        <v>1.173</v>
      </c>
      <c r="N50" s="6">
        <v>1.173</v>
      </c>
      <c r="O50" s="52">
        <v>1.173</v>
      </c>
      <c r="P50" s="6">
        <v>2</v>
      </c>
      <c r="Q50" s="4" t="s">
        <v>26</v>
      </c>
      <c r="R50" s="4">
        <v>0</v>
      </c>
      <c r="S50" s="4">
        <v>0</v>
      </c>
      <c r="T50" s="4">
        <v>39</v>
      </c>
      <c r="U50" s="4">
        <v>80</v>
      </c>
      <c r="V50" s="52">
        <f>IF(ISERROR(VLOOKUP($S$50,'TAR FIN'!$A$1:$O$85,15,0)),0,VLOOKUP($S$50,'TAR FIN'!$A$1:$O$85,15,0))</f>
        <v>0</v>
      </c>
      <c r="W50" s="52">
        <f>IF(ISERROR(VLOOKUP($T$50,'TAR FIN'!$A$1:$O$85,15,0)),0,VLOOKUP($T$50,'TAR FIN'!$A$1:$O$85,15,0))*(1-0.06)</f>
        <v>209.03719999999998</v>
      </c>
      <c r="X50" s="52">
        <f>IF(ISERROR(VLOOKUP($U$50,'TAR FIN'!$A$1:$O$85,15,0)),0,VLOOKUP($U$50,'TAR FIN'!$A$1:$O$85,15,0))*(1-0.06)</f>
        <v>226.8878</v>
      </c>
      <c r="Y50" s="52"/>
      <c r="Z50" s="52">
        <f ca="1">('TUSD BE'!$AM$48+'TUSD BF'!$AM$48+'TUSD CVA'!$AM$48)*1*(1-0.03)</f>
        <v>271.14674313232621</v>
      </c>
      <c r="AA50" s="52">
        <f>('TE BE'!$AB$38+'TE BF'!$AB$38+'TE CVA'!$AB$38)*1*(1-0.03)</f>
        <v>232.71382147134673</v>
      </c>
      <c r="AB50" s="52">
        <f>(SUBSIDIO!$J$50*SUBSIDIO!$V$50)*(0.06)/(1-0.06)</f>
        <v>0</v>
      </c>
      <c r="AC50" s="52">
        <f>((SUBSIDIO!$L$50*SUBSIDIO!$W$50)+(SUBSIDIO!$N$50*SUBSIDIO!$X$50))*(0.06)/(1-0.06)</f>
        <v>32.638725000000001</v>
      </c>
      <c r="AD50" s="52">
        <f>(SUBSIDIO!$J$50*SUBSIDIO!$Y$50)*(0.03)/(1-0.03)</f>
        <v>0</v>
      </c>
      <c r="AE50" s="52">
        <f ca="1">((SUBSIDIO!$L$50*SUBSIDIO!$Z$50)+(SUBSIDIO!$N$50*SUBSIDIO!$AA$50))*(0.03)/(1-0.03)</f>
        <v>18.279230173611602</v>
      </c>
      <c r="AF50" s="4" t="s">
        <v>526</v>
      </c>
    </row>
    <row r="51" spans="1:32" ht="11.25" customHeight="1" x14ac:dyDescent="0.25">
      <c r="A51" s="4" t="s">
        <v>21</v>
      </c>
      <c r="B51" s="4" t="s">
        <v>31</v>
      </c>
      <c r="C51" s="4" t="s">
        <v>23</v>
      </c>
      <c r="D51" s="4" t="s">
        <v>45</v>
      </c>
      <c r="E51" s="4" t="s">
        <v>46</v>
      </c>
      <c r="F51" s="4" t="s">
        <v>25</v>
      </c>
      <c r="G51" s="4" t="s">
        <v>25</v>
      </c>
      <c r="H51" s="4" t="s">
        <v>25</v>
      </c>
      <c r="I51" s="5">
        <v>44774</v>
      </c>
      <c r="J51" s="6">
        <v>0</v>
      </c>
      <c r="K51" s="52">
        <v>0</v>
      </c>
      <c r="L51" s="6">
        <v>1.19</v>
      </c>
      <c r="M51" s="52">
        <v>1.19</v>
      </c>
      <c r="N51" s="6">
        <v>1.19</v>
      </c>
      <c r="O51" s="52">
        <v>1.19</v>
      </c>
      <c r="P51" s="6">
        <v>2</v>
      </c>
      <c r="Q51" s="4" t="s">
        <v>26</v>
      </c>
      <c r="R51" s="4">
        <v>0</v>
      </c>
      <c r="S51" s="4">
        <v>0</v>
      </c>
      <c r="T51" s="4">
        <v>39</v>
      </c>
      <c r="U51" s="4">
        <v>80</v>
      </c>
      <c r="V51" s="52">
        <f>IF(ISERROR(VLOOKUP($S$51,'TAR FIN'!$A$1:$O$85,15,0)),0,VLOOKUP($S$51,'TAR FIN'!$A$1:$O$85,15,0))</f>
        <v>0</v>
      </c>
      <c r="W51" s="52">
        <f>IF(ISERROR(VLOOKUP($T$51,'TAR FIN'!$A$1:$O$85,15,0)),0,VLOOKUP($T$51,'TAR FIN'!$A$1:$O$85,15,0))*(1-0.06)</f>
        <v>209.03719999999998</v>
      </c>
      <c r="X51" s="52">
        <f>IF(ISERROR(VLOOKUP($U$51,'TAR FIN'!$A$1:$O$85,15,0)),0,VLOOKUP($U$51,'TAR FIN'!$A$1:$O$85,15,0))*(1-0.06)</f>
        <v>226.8878</v>
      </c>
      <c r="Y51" s="52"/>
      <c r="Z51" s="52">
        <f ca="1">('TUSD BE'!$AM$48+'TUSD BF'!$AM$48+'TUSD CVA'!$AM$48)*1*(1-0.03)</f>
        <v>271.14674313232621</v>
      </c>
      <c r="AA51" s="52">
        <f>('TE BE'!$AB$38+'TE BF'!$AB$38+'TE CVA'!$AB$38)*1*(1-0.03)</f>
        <v>232.71382147134673</v>
      </c>
      <c r="AB51" s="52">
        <f>(SUBSIDIO!$J$51*SUBSIDIO!$V$51)*(0.06)/(1-0.06)</f>
        <v>0</v>
      </c>
      <c r="AC51" s="52">
        <f>((SUBSIDIO!$L$51*SUBSIDIO!$W$51)+(SUBSIDIO!$N$51*SUBSIDIO!$X$51))*(0.06)/(1-0.06)</f>
        <v>33.111749999999994</v>
      </c>
      <c r="AD51" s="52">
        <f>(SUBSIDIO!$J$51*SUBSIDIO!$Y$51)*(0.03)/(1-0.03)</f>
        <v>0</v>
      </c>
      <c r="AE51" s="52">
        <f ca="1">((SUBSIDIO!$L$51*SUBSIDIO!$Z$51)+(SUBSIDIO!$N$51*SUBSIDIO!$AA$51))*(0.03)/(1-0.03)</f>
        <v>18.544146552939303</v>
      </c>
      <c r="AF51" s="4" t="s">
        <v>526</v>
      </c>
    </row>
    <row r="52" spans="1:32" ht="11.25" customHeight="1" x14ac:dyDescent="0.25"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2" ht="11.25" customHeight="1" x14ac:dyDescent="0.25"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2" ht="11.25" customHeight="1" x14ac:dyDescent="0.25"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2" ht="11.25" customHeight="1" x14ac:dyDescent="0.25"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2" ht="11.25" customHeight="1" x14ac:dyDescent="0.25"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2" ht="11.25" customHeight="1" x14ac:dyDescent="0.25"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2" ht="11.25" customHeight="1" x14ac:dyDescent="0.25"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2" ht="11.25" customHeight="1" x14ac:dyDescent="0.25"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2" ht="11.25" customHeight="1" x14ac:dyDescent="0.25"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2" ht="11.25" customHeight="1" x14ac:dyDescent="0.25"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2" ht="11.25" customHeight="1" x14ac:dyDescent="0.25"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2" ht="11.25" customHeight="1" x14ac:dyDescent="0.25"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2" ht="11.25" customHeight="1" x14ac:dyDescent="0.25"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22:31" ht="11.25" customHeight="1" x14ac:dyDescent="0.25"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22:31" ht="11.25" customHeight="1" x14ac:dyDescent="0.25"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22:31" ht="11.25" customHeight="1" x14ac:dyDescent="0.25"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22:31" ht="11.25" customHeight="1" x14ac:dyDescent="0.25"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22:31" ht="11.25" customHeight="1" x14ac:dyDescent="0.25"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22:31" ht="11.25" customHeight="1" x14ac:dyDescent="0.25"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2:31" ht="11.25" customHeight="1" x14ac:dyDescent="0.25"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22:31" ht="11.25" customHeight="1" x14ac:dyDescent="0.25"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22:31" ht="11.25" customHeight="1" x14ac:dyDescent="0.25"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22:31" ht="11.25" customHeight="1" x14ac:dyDescent="0.25"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22:31" ht="11.25" customHeight="1" x14ac:dyDescent="0.25"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22:31" ht="11.25" customHeight="1" x14ac:dyDescent="0.25"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22:31" ht="11.25" customHeight="1" x14ac:dyDescent="0.25"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22:31" ht="11.25" customHeight="1" x14ac:dyDescent="0.25"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22:31" ht="11.25" customHeight="1" x14ac:dyDescent="0.25"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22:31" ht="11.25" customHeight="1" x14ac:dyDescent="0.25"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22:31" ht="11.25" customHeight="1" x14ac:dyDescent="0.25"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22:31" ht="11.25" customHeight="1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22:31" ht="11.25" customHeight="1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22:31" ht="11.25" customHeight="1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22:31" ht="11.25" customHeight="1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22:31" ht="11.25" customHeight="1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22:31" ht="11.25" customHeight="1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22:31" ht="11.25" customHeight="1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22:31" ht="11.25" customHeight="1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22:31" ht="11.25" customHeight="1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22:31" ht="11.25" customHeight="1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22:31" ht="11.25" customHeight="1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22:31" ht="11.25" customHeight="1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22:31" ht="11.25" customHeight="1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22:31" ht="11.25" customHeight="1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22:31" ht="11.25" customHeight="1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22:31" ht="11.25" customHeight="1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22:31" ht="11.25" customHeight="1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22:31" ht="11.25" customHeight="1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2:31" ht="11.25" customHeight="1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22:31" ht="11.25" customHeight="1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22:31" ht="11.25" customHeight="1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22:31" ht="11.25" customHeight="1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22:31" ht="11.25" customHeight="1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22:31" ht="11.25" customHeight="1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22:31" ht="11.25" customHeight="1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22:31" ht="11.25" customHeight="1" x14ac:dyDescent="0.25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22:31" ht="11.25" customHeight="1" x14ac:dyDescent="0.25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22:31" ht="11.25" customHeight="1" x14ac:dyDescent="0.25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22:31" ht="11.25" customHeight="1" x14ac:dyDescent="0.25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22:31" ht="11.25" customHeight="1" x14ac:dyDescent="0.25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22:31" ht="11.25" customHeight="1" x14ac:dyDescent="0.25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2:31" ht="11.25" customHeight="1" x14ac:dyDescent="0.25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2:31" ht="11.25" customHeight="1" x14ac:dyDescent="0.25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2:31" ht="11.25" customHeight="1" x14ac:dyDescent="0.25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2:31" ht="11.25" customHeight="1" x14ac:dyDescent="0.25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2:31" ht="11.25" customHeight="1" x14ac:dyDescent="0.25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2:31" ht="11.25" customHeight="1" x14ac:dyDescent="0.25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2:31" ht="11.25" customHeight="1" x14ac:dyDescent="0.25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2:31" ht="11.25" customHeight="1" x14ac:dyDescent="0.25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2:31" ht="11.25" customHeight="1" x14ac:dyDescent="0.25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2:31" ht="11.25" customHeight="1" x14ac:dyDescent="0.25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2:31" ht="11.25" customHeight="1" x14ac:dyDescent="0.25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2:31" ht="11.25" customHeight="1" x14ac:dyDescent="0.25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2:31" ht="11.25" customHeight="1" x14ac:dyDescent="0.25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2:31" ht="11.25" customHeight="1" x14ac:dyDescent="0.25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2:31" ht="11.25" customHeight="1" x14ac:dyDescent="0.25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2:31" ht="11.25" customHeight="1" x14ac:dyDescent="0.25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2:31" ht="11.25" customHeight="1" x14ac:dyDescent="0.25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2:31" ht="11.25" customHeight="1" x14ac:dyDescent="0.25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2:31" ht="11.25" customHeight="1" x14ac:dyDescent="0.25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2:31" ht="11.25" customHeight="1" x14ac:dyDescent="0.25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2:31" ht="11.25" customHeight="1" x14ac:dyDescent="0.25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2:31" ht="11.25" customHeight="1" x14ac:dyDescent="0.25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2:31" ht="11.25" customHeight="1" x14ac:dyDescent="0.25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2:31" ht="11.25" customHeight="1" x14ac:dyDescent="0.25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2:31" ht="11.25" customHeight="1" x14ac:dyDescent="0.25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2:31" ht="11.25" customHeight="1" x14ac:dyDescent="0.25"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2:31" ht="11.25" customHeight="1" x14ac:dyDescent="0.25"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2:31" ht="11.25" customHeight="1" x14ac:dyDescent="0.25"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2:31" ht="11.25" customHeight="1" x14ac:dyDescent="0.25"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2:31" ht="11.25" customHeight="1" x14ac:dyDescent="0.25"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2:31" ht="11.25" customHeight="1" x14ac:dyDescent="0.25"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2:31" ht="11.25" customHeight="1" x14ac:dyDescent="0.25"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2:31" ht="11.25" customHeight="1" x14ac:dyDescent="0.25"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2:31" ht="11.25" customHeight="1" x14ac:dyDescent="0.25"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2:31" ht="11.25" customHeight="1" x14ac:dyDescent="0.25"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2:31" ht="11.25" customHeight="1" x14ac:dyDescent="0.25"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2:31" ht="11.25" customHeight="1" x14ac:dyDescent="0.25"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2:31" ht="11.25" customHeight="1" x14ac:dyDescent="0.25"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2:31" ht="11.25" customHeight="1" x14ac:dyDescent="0.25"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2:31" ht="11.25" customHeight="1" x14ac:dyDescent="0.25"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2:31" ht="11.25" customHeight="1" x14ac:dyDescent="0.25"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2:31" ht="11.25" customHeight="1" x14ac:dyDescent="0.25"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2:31" ht="11.25" customHeight="1" x14ac:dyDescent="0.25"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2:31" ht="11.25" customHeight="1" x14ac:dyDescent="0.25"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2:31" ht="11.25" customHeight="1" x14ac:dyDescent="0.25"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2:31" ht="11.25" customHeight="1" x14ac:dyDescent="0.25"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2:31" ht="11.25" customHeight="1" x14ac:dyDescent="0.25"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2:31" ht="11.25" customHeight="1" x14ac:dyDescent="0.25"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2:31" ht="11.25" customHeight="1" x14ac:dyDescent="0.25"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2:31" ht="11.25" customHeight="1" x14ac:dyDescent="0.25"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2:31" ht="11.25" customHeight="1" x14ac:dyDescent="0.25"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2:31" ht="11.25" customHeight="1" x14ac:dyDescent="0.25"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2:31" ht="11.25" customHeight="1" x14ac:dyDescent="0.25"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2:31" ht="11.25" customHeight="1" x14ac:dyDescent="0.25"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2:31" ht="11.25" customHeight="1" x14ac:dyDescent="0.25"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2:31" ht="11.25" customHeight="1" x14ac:dyDescent="0.25"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2:31" ht="11.25" customHeight="1" x14ac:dyDescent="0.25"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2:31" ht="11.25" customHeight="1" x14ac:dyDescent="0.25"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2:31" ht="11.25" customHeight="1" x14ac:dyDescent="0.25"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B1BD-8C25-48DF-A8A4-DC9CACEAB7BD}">
  <dimension ref="A1:J246"/>
  <sheetViews>
    <sheetView showGridLines="0" workbookViewId="0">
      <selection activeCell="A3" sqref="A3"/>
    </sheetView>
  </sheetViews>
  <sheetFormatPr defaultRowHeight="11.25" customHeight="1" x14ac:dyDescent="0.2"/>
  <cols>
    <col min="1" max="1" width="27.5703125" style="14" bestFit="1" customWidth="1"/>
    <col min="2" max="2" width="24.5703125" style="39" bestFit="1" customWidth="1"/>
    <col min="3" max="3" width="25.5703125" style="39" bestFit="1" customWidth="1"/>
    <col min="4" max="4" width="26" style="39" bestFit="1" customWidth="1"/>
    <col min="5" max="5" width="26.85546875" style="39" bestFit="1" customWidth="1"/>
    <col min="6" max="6" width="23.7109375" style="39" bestFit="1" customWidth="1"/>
    <col min="7" max="7" width="24.5703125" style="39" bestFit="1" customWidth="1"/>
    <col min="8" max="8" width="18.28515625" style="40" bestFit="1" customWidth="1"/>
    <col min="9" max="9" width="16" style="40" bestFit="1" customWidth="1"/>
    <col min="10" max="10" width="13.85546875" style="40" bestFit="1" customWidth="1"/>
    <col min="11" max="16384" width="9.140625" style="14"/>
  </cols>
  <sheetData>
    <row r="1" spans="1:10" ht="11.25" customHeight="1" x14ac:dyDescent="0.2">
      <c r="A1" s="64" t="s">
        <v>509</v>
      </c>
      <c r="B1" s="65" t="s">
        <v>510</v>
      </c>
      <c r="C1" s="65" t="s">
        <v>511</v>
      </c>
      <c r="D1" s="65" t="s">
        <v>512</v>
      </c>
      <c r="E1" s="65" t="s">
        <v>513</v>
      </c>
      <c r="F1" s="65" t="s">
        <v>514</v>
      </c>
      <c r="G1" s="65" t="s">
        <v>515</v>
      </c>
      <c r="H1" s="66" t="s">
        <v>516</v>
      </c>
      <c r="I1" s="66" t="s">
        <v>517</v>
      </c>
      <c r="J1" s="66" t="s">
        <v>518</v>
      </c>
    </row>
    <row r="2" spans="1:10" ht="11.25" customHeight="1" x14ac:dyDescent="0.2">
      <c r="A2" s="67" t="s">
        <v>26</v>
      </c>
      <c r="B2" s="65">
        <v>4655436.33</v>
      </c>
      <c r="C2" s="65">
        <v>4919348.0599719593</v>
      </c>
      <c r="D2" s="65">
        <v>4888135.4080515979</v>
      </c>
      <c r="E2" s="65">
        <v>7013402.6618164703</v>
      </c>
      <c r="F2" s="65">
        <v>13611317.294183409</v>
      </c>
      <c r="G2" s="65">
        <v>13538764.598218946</v>
      </c>
      <c r="H2" s="66">
        <v>0.25034432069188828</v>
      </c>
      <c r="I2" s="66">
        <v>-5.3303214080142602E-3</v>
      </c>
      <c r="J2" s="66">
        <v>0.10004912070825656</v>
      </c>
    </row>
    <row r="3" spans="1:10" ht="11.25" customHeight="1" x14ac:dyDescent="0.2">
      <c r="A3" s="68" t="s">
        <v>33</v>
      </c>
      <c r="B3" s="65">
        <v>4655436.33</v>
      </c>
      <c r="C3" s="65">
        <v>4919348.0599719593</v>
      </c>
      <c r="D3" s="65">
        <v>3717374.9655700009</v>
      </c>
      <c r="E3" s="65">
        <v>5530512.1343344646</v>
      </c>
      <c r="F3" s="65">
        <v>12340271.516980002</v>
      </c>
      <c r="G3" s="65">
        <v>12265686.733719882</v>
      </c>
      <c r="H3" s="66">
        <v>0.24807066890846752</v>
      </c>
      <c r="I3" s="66">
        <v>-6.0440147655983489E-3</v>
      </c>
      <c r="J3" s="66">
        <v>9.6676295537379664E-2</v>
      </c>
    </row>
    <row r="4" spans="1:10" ht="11.25" customHeight="1" x14ac:dyDescent="0.2">
      <c r="A4" s="68" t="s">
        <v>22</v>
      </c>
      <c r="B4" s="65">
        <v>0</v>
      </c>
      <c r="C4" s="65">
        <v>0</v>
      </c>
      <c r="D4" s="65">
        <v>660872.38690999965</v>
      </c>
      <c r="E4" s="65">
        <v>830635.71300650691</v>
      </c>
      <c r="F4" s="65">
        <v>717612.3002500002</v>
      </c>
      <c r="G4" s="65">
        <v>713275.04814880504</v>
      </c>
      <c r="H4" s="66">
        <v>0.25687762033795836</v>
      </c>
      <c r="I4" s="66">
        <v>-6.0440046800817049E-3</v>
      </c>
      <c r="J4" s="66">
        <v>0.12000573929923619</v>
      </c>
    </row>
    <row r="5" spans="1:10" ht="11.25" customHeight="1" x14ac:dyDescent="0.2">
      <c r="A5" s="68" t="s">
        <v>39</v>
      </c>
      <c r="B5" s="65">
        <v>0</v>
      </c>
      <c r="C5" s="65">
        <v>0</v>
      </c>
      <c r="D5" s="65">
        <v>130834.42020000001</v>
      </c>
      <c r="E5" s="65">
        <v>175676.58984742884</v>
      </c>
      <c r="F5" s="65">
        <v>142013.0778</v>
      </c>
      <c r="G5" s="65">
        <v>150775.81273582909</v>
      </c>
      <c r="H5" s="66">
        <v>0.34273985071268598</v>
      </c>
      <c r="I5" s="66">
        <v>6.1703718217908321E-2</v>
      </c>
      <c r="J5" s="66">
        <v>0.19646471005300525</v>
      </c>
    </row>
    <row r="6" spans="1:10" ht="11.25" customHeight="1" x14ac:dyDescent="0.2">
      <c r="A6" s="68" t="s">
        <v>31</v>
      </c>
      <c r="B6" s="65">
        <v>0</v>
      </c>
      <c r="C6" s="65">
        <v>0</v>
      </c>
      <c r="D6" s="65">
        <v>306029.53125160013</v>
      </c>
      <c r="E6" s="65">
        <v>384787.95194656216</v>
      </c>
      <c r="F6" s="65">
        <v>332162.73027340003</v>
      </c>
      <c r="G6" s="65">
        <v>330247.2813030142</v>
      </c>
      <c r="H6" s="66">
        <v>0.25735562307616422</v>
      </c>
      <c r="I6" s="66">
        <v>-5.7665981033129254E-3</v>
      </c>
      <c r="J6" s="66">
        <v>0.1204072445832467</v>
      </c>
    </row>
    <row r="7" spans="1:10" ht="11.25" customHeight="1" x14ac:dyDescent="0.2">
      <c r="A7" s="68" t="s">
        <v>42</v>
      </c>
      <c r="B7" s="65">
        <v>0</v>
      </c>
      <c r="C7" s="65">
        <v>0</v>
      </c>
      <c r="D7" s="65">
        <v>73024.104120000004</v>
      </c>
      <c r="E7" s="65">
        <v>91790.272681504357</v>
      </c>
      <c r="F7" s="65">
        <v>79257.668879999968</v>
      </c>
      <c r="G7" s="65">
        <v>78779.722311417238</v>
      </c>
      <c r="H7" s="66">
        <v>0.25698594714241252</v>
      </c>
      <c r="I7" s="66">
        <v>-6.0302879877323079E-3</v>
      </c>
      <c r="J7" s="66">
        <v>0.12009462217728184</v>
      </c>
    </row>
    <row r="8" spans="1:10" ht="11.25" customHeight="1" x14ac:dyDescent="0.2">
      <c r="A8" s="69" t="s">
        <v>23</v>
      </c>
      <c r="B8" s="65">
        <v>0</v>
      </c>
      <c r="C8" s="65">
        <v>0</v>
      </c>
      <c r="D8" s="65">
        <v>73024.104120000004</v>
      </c>
      <c r="E8" s="65">
        <v>91790.272681504357</v>
      </c>
      <c r="F8" s="65">
        <v>79257.668879999968</v>
      </c>
      <c r="G8" s="65">
        <v>78779.722311417238</v>
      </c>
      <c r="H8" s="66">
        <v>0.25698594714241252</v>
      </c>
      <c r="I8" s="66">
        <v>-6.0302879877323079E-3</v>
      </c>
      <c r="J8" s="66">
        <v>0.12009462217728184</v>
      </c>
    </row>
    <row r="9" spans="1:10" ht="11.25" customHeight="1" x14ac:dyDescent="0.2">
      <c r="A9" s="70" t="s">
        <v>43</v>
      </c>
      <c r="B9" s="65">
        <v>0</v>
      </c>
      <c r="C9" s="65">
        <v>0</v>
      </c>
      <c r="D9" s="65">
        <v>73024.104120000004</v>
      </c>
      <c r="E9" s="65">
        <v>91790.272681504357</v>
      </c>
      <c r="F9" s="65">
        <v>79257.668879999968</v>
      </c>
      <c r="G9" s="65">
        <v>78779.722311417238</v>
      </c>
      <c r="H9" s="66">
        <v>0.25698594714241252</v>
      </c>
      <c r="I9" s="66">
        <v>-6.0302879877323079E-3</v>
      </c>
      <c r="J9" s="66">
        <v>0.12009462217728184</v>
      </c>
    </row>
    <row r="10" spans="1:10" ht="11.25" customHeight="1" x14ac:dyDescent="0.2">
      <c r="A10" s="71" t="s">
        <v>44</v>
      </c>
      <c r="B10" s="65">
        <v>0</v>
      </c>
      <c r="C10" s="65">
        <v>0</v>
      </c>
      <c r="D10" s="65">
        <v>73024.104120000004</v>
      </c>
      <c r="E10" s="65">
        <v>91790.272681504357</v>
      </c>
      <c r="F10" s="65">
        <v>79257.668879999968</v>
      </c>
      <c r="G10" s="65">
        <v>78779.722311417238</v>
      </c>
      <c r="H10" s="66">
        <v>0.25698594714241252</v>
      </c>
      <c r="I10" s="66">
        <v>-6.0302879877323079E-3</v>
      </c>
      <c r="J10" s="66">
        <v>0.12009462217728184</v>
      </c>
    </row>
    <row r="11" spans="1:10" ht="11.25" customHeight="1" x14ac:dyDescent="0.2">
      <c r="A11" s="72" t="s">
        <v>25</v>
      </c>
      <c r="B11" s="65">
        <v>0</v>
      </c>
      <c r="C11" s="65">
        <v>0</v>
      </c>
      <c r="D11" s="65">
        <v>73024.104120000004</v>
      </c>
      <c r="E11" s="65">
        <v>91790.272681504357</v>
      </c>
      <c r="F11" s="65">
        <v>79257.668879999968</v>
      </c>
      <c r="G11" s="65">
        <v>78779.722311417238</v>
      </c>
      <c r="H11" s="66">
        <v>0.25698594714241252</v>
      </c>
      <c r="I11" s="66">
        <v>-6.0302879877323079E-3</v>
      </c>
      <c r="J11" s="66">
        <v>0.12009462217728184</v>
      </c>
    </row>
    <row r="12" spans="1:10" ht="11.25" customHeight="1" x14ac:dyDescent="0.2">
      <c r="A12" s="73" t="s">
        <v>25</v>
      </c>
      <c r="B12" s="65">
        <v>0</v>
      </c>
      <c r="C12" s="65">
        <v>0</v>
      </c>
      <c r="D12" s="65">
        <v>73024.104120000004</v>
      </c>
      <c r="E12" s="65">
        <v>91790.272681504357</v>
      </c>
      <c r="F12" s="65">
        <v>79257.668879999968</v>
      </c>
      <c r="G12" s="65">
        <v>78779.722311417238</v>
      </c>
      <c r="H12" s="66">
        <v>0.25698594714241252</v>
      </c>
      <c r="I12" s="66">
        <v>-6.0302879877323079E-3</v>
      </c>
      <c r="J12" s="66">
        <v>0.12009462217728184</v>
      </c>
    </row>
    <row r="13" spans="1:10" ht="11.25" customHeight="1" x14ac:dyDescent="0.2">
      <c r="A13" s="74" t="s">
        <v>25</v>
      </c>
      <c r="B13" s="65">
        <v>0</v>
      </c>
      <c r="C13" s="65">
        <v>0</v>
      </c>
      <c r="D13" s="65">
        <v>73024.104120000004</v>
      </c>
      <c r="E13" s="65">
        <v>91790.272681504357</v>
      </c>
      <c r="F13" s="65">
        <v>79257.668879999968</v>
      </c>
      <c r="G13" s="65">
        <v>78779.722311417238</v>
      </c>
      <c r="H13" s="66">
        <v>0.25698594714241252</v>
      </c>
      <c r="I13" s="66">
        <v>-6.0302879877323079E-3</v>
      </c>
      <c r="J13" s="66">
        <v>0.12009462217728184</v>
      </c>
    </row>
    <row r="14" spans="1:10" ht="11.25" customHeight="1" x14ac:dyDescent="0.2">
      <c r="A14" s="75">
        <v>44440</v>
      </c>
      <c r="B14" s="65">
        <v>0</v>
      </c>
      <c r="C14" s="65">
        <v>0</v>
      </c>
      <c r="D14" s="65">
        <v>6085.3420100000003</v>
      </c>
      <c r="E14" s="65">
        <v>7649.1893901253607</v>
      </c>
      <c r="F14" s="65">
        <v>6604.8057399999998</v>
      </c>
      <c r="G14" s="65">
        <v>6564.9768592847695</v>
      </c>
      <c r="H14" s="66">
        <v>0.25698594714241207</v>
      </c>
      <c r="I14" s="66">
        <v>-6.030287987732752E-3</v>
      </c>
      <c r="J14" s="66">
        <v>0.12009462217728162</v>
      </c>
    </row>
    <row r="15" spans="1:10" ht="11.25" customHeight="1" x14ac:dyDescent="0.2">
      <c r="A15" s="75">
        <v>44470</v>
      </c>
      <c r="B15" s="65">
        <v>0</v>
      </c>
      <c r="C15" s="65">
        <v>0</v>
      </c>
      <c r="D15" s="65">
        <v>6085.3420100000003</v>
      </c>
      <c r="E15" s="65">
        <v>7649.1893901253607</v>
      </c>
      <c r="F15" s="65">
        <v>6604.8057399999998</v>
      </c>
      <c r="G15" s="65">
        <v>6564.9768592847695</v>
      </c>
      <c r="H15" s="66">
        <v>0.25698594714241207</v>
      </c>
      <c r="I15" s="66">
        <v>-6.030287987732752E-3</v>
      </c>
      <c r="J15" s="66">
        <v>0.12009462217728162</v>
      </c>
    </row>
    <row r="16" spans="1:10" ht="11.25" customHeight="1" x14ac:dyDescent="0.2">
      <c r="A16" s="75">
        <v>44501</v>
      </c>
      <c r="B16" s="65">
        <v>0</v>
      </c>
      <c r="C16" s="65">
        <v>0</v>
      </c>
      <c r="D16" s="65">
        <v>6085.3420100000003</v>
      </c>
      <c r="E16" s="65">
        <v>7649.1893901253607</v>
      </c>
      <c r="F16" s="65">
        <v>6604.8057399999998</v>
      </c>
      <c r="G16" s="65">
        <v>6564.9768592847695</v>
      </c>
      <c r="H16" s="66">
        <v>0.25698594714241207</v>
      </c>
      <c r="I16" s="66">
        <v>-6.030287987732752E-3</v>
      </c>
      <c r="J16" s="66">
        <v>0.12009462217728162</v>
      </c>
    </row>
    <row r="17" spans="1:10" ht="11.25" customHeight="1" x14ac:dyDescent="0.2">
      <c r="A17" s="75">
        <v>44531</v>
      </c>
      <c r="B17" s="65">
        <v>0</v>
      </c>
      <c r="C17" s="65">
        <v>0</v>
      </c>
      <c r="D17" s="65">
        <v>6085.3420100000003</v>
      </c>
      <c r="E17" s="65">
        <v>7649.1893901253607</v>
      </c>
      <c r="F17" s="65">
        <v>6604.8057399999998</v>
      </c>
      <c r="G17" s="65">
        <v>6564.9768592847695</v>
      </c>
      <c r="H17" s="66">
        <v>0.25698594714241207</v>
      </c>
      <c r="I17" s="66">
        <v>-6.030287987732752E-3</v>
      </c>
      <c r="J17" s="66">
        <v>0.12009462217728162</v>
      </c>
    </row>
    <row r="18" spans="1:10" ht="11.25" customHeight="1" x14ac:dyDescent="0.2">
      <c r="A18" s="75">
        <v>44562</v>
      </c>
      <c r="B18" s="65">
        <v>0</v>
      </c>
      <c r="C18" s="65">
        <v>0</v>
      </c>
      <c r="D18" s="65">
        <v>6085.3420100000003</v>
      </c>
      <c r="E18" s="65">
        <v>7649.1893901253607</v>
      </c>
      <c r="F18" s="65">
        <v>6604.8057399999998</v>
      </c>
      <c r="G18" s="65">
        <v>6564.9768592847695</v>
      </c>
      <c r="H18" s="66">
        <v>0.25698594714241207</v>
      </c>
      <c r="I18" s="66">
        <v>-6.030287987732752E-3</v>
      </c>
      <c r="J18" s="66">
        <v>0.12009462217728162</v>
      </c>
    </row>
    <row r="19" spans="1:10" ht="11.25" customHeight="1" x14ac:dyDescent="0.2">
      <c r="A19" s="75">
        <v>44593</v>
      </c>
      <c r="B19" s="65">
        <v>0</v>
      </c>
      <c r="C19" s="65">
        <v>0</v>
      </c>
      <c r="D19" s="65">
        <v>6085.3420100000003</v>
      </c>
      <c r="E19" s="65">
        <v>7649.1893901253607</v>
      </c>
      <c r="F19" s="65">
        <v>6604.8057399999998</v>
      </c>
      <c r="G19" s="65">
        <v>6564.9768592847695</v>
      </c>
      <c r="H19" s="66">
        <v>0.25698594714241207</v>
      </c>
      <c r="I19" s="66">
        <v>-6.030287987732752E-3</v>
      </c>
      <c r="J19" s="66">
        <v>0.12009462217728162</v>
      </c>
    </row>
    <row r="20" spans="1:10" ht="11.25" customHeight="1" x14ac:dyDescent="0.2">
      <c r="A20" s="75">
        <v>44621</v>
      </c>
      <c r="B20" s="65">
        <v>0</v>
      </c>
      <c r="C20" s="65">
        <v>0</v>
      </c>
      <c r="D20" s="65">
        <v>6085.3420100000003</v>
      </c>
      <c r="E20" s="65">
        <v>7649.1893901253607</v>
      </c>
      <c r="F20" s="65">
        <v>6604.8057399999998</v>
      </c>
      <c r="G20" s="65">
        <v>6564.9768592847695</v>
      </c>
      <c r="H20" s="66">
        <v>0.25698594714241207</v>
      </c>
      <c r="I20" s="66">
        <v>-6.030287987732752E-3</v>
      </c>
      <c r="J20" s="66">
        <v>0.12009462217728162</v>
      </c>
    </row>
    <row r="21" spans="1:10" ht="11.25" customHeight="1" x14ac:dyDescent="0.2">
      <c r="A21" s="75">
        <v>44652</v>
      </c>
      <c r="B21" s="65">
        <v>0</v>
      </c>
      <c r="C21" s="65">
        <v>0</v>
      </c>
      <c r="D21" s="65">
        <v>6085.3420100000003</v>
      </c>
      <c r="E21" s="65">
        <v>7649.1893901253607</v>
      </c>
      <c r="F21" s="65">
        <v>6604.8057399999998</v>
      </c>
      <c r="G21" s="65">
        <v>6564.9768592847695</v>
      </c>
      <c r="H21" s="66">
        <v>0.25698594714241207</v>
      </c>
      <c r="I21" s="66">
        <v>-6.030287987732752E-3</v>
      </c>
      <c r="J21" s="66">
        <v>0.12009462217728162</v>
      </c>
    </row>
    <row r="22" spans="1:10" ht="11.25" customHeight="1" x14ac:dyDescent="0.2">
      <c r="A22" s="75">
        <v>44682</v>
      </c>
      <c r="B22" s="65">
        <v>0</v>
      </c>
      <c r="C22" s="65">
        <v>0</v>
      </c>
      <c r="D22" s="65">
        <v>6085.3420100000003</v>
      </c>
      <c r="E22" s="65">
        <v>7649.1893901253607</v>
      </c>
      <c r="F22" s="65">
        <v>6604.8057399999998</v>
      </c>
      <c r="G22" s="65">
        <v>6564.9768592847695</v>
      </c>
      <c r="H22" s="66">
        <v>0.25698594714241207</v>
      </c>
      <c r="I22" s="66">
        <v>-6.030287987732752E-3</v>
      </c>
      <c r="J22" s="66">
        <v>0.12009462217728162</v>
      </c>
    </row>
    <row r="23" spans="1:10" ht="11.25" customHeight="1" x14ac:dyDescent="0.2">
      <c r="A23" s="75">
        <v>44713</v>
      </c>
      <c r="B23" s="65">
        <v>0</v>
      </c>
      <c r="C23" s="65">
        <v>0</v>
      </c>
      <c r="D23" s="65">
        <v>6085.3420100000003</v>
      </c>
      <c r="E23" s="65">
        <v>7649.1893901253607</v>
      </c>
      <c r="F23" s="65">
        <v>6604.8057399999998</v>
      </c>
      <c r="G23" s="65">
        <v>6564.9768592847695</v>
      </c>
      <c r="H23" s="66">
        <v>0.25698594714241207</v>
      </c>
      <c r="I23" s="66">
        <v>-6.030287987732752E-3</v>
      </c>
      <c r="J23" s="66">
        <v>0.12009462217728162</v>
      </c>
    </row>
    <row r="24" spans="1:10" ht="11.25" customHeight="1" x14ac:dyDescent="0.2">
      <c r="A24" s="75">
        <v>44743</v>
      </c>
      <c r="B24" s="65">
        <v>0</v>
      </c>
      <c r="C24" s="65">
        <v>0</v>
      </c>
      <c r="D24" s="65">
        <v>6085.3420100000003</v>
      </c>
      <c r="E24" s="65">
        <v>7649.1893901253607</v>
      </c>
      <c r="F24" s="65">
        <v>6604.8057399999998</v>
      </c>
      <c r="G24" s="65">
        <v>6564.9768592847695</v>
      </c>
      <c r="H24" s="66">
        <v>0.25698594714241207</v>
      </c>
      <c r="I24" s="66">
        <v>-6.030287987732752E-3</v>
      </c>
      <c r="J24" s="66">
        <v>0.12009462217728162</v>
      </c>
    </row>
    <row r="25" spans="1:10" ht="11.25" customHeight="1" x14ac:dyDescent="0.2">
      <c r="A25" s="75">
        <v>44774</v>
      </c>
      <c r="B25" s="65">
        <v>0</v>
      </c>
      <c r="C25" s="65">
        <v>0</v>
      </c>
      <c r="D25" s="65">
        <v>6085.3420100000003</v>
      </c>
      <c r="E25" s="65">
        <v>7649.1893901253607</v>
      </c>
      <c r="F25" s="65">
        <v>6604.8057399999998</v>
      </c>
      <c r="G25" s="65">
        <v>6564.9768592847695</v>
      </c>
      <c r="H25" s="66">
        <v>0.25698594714241207</v>
      </c>
      <c r="I25" s="66">
        <v>-6.030287987732752E-3</v>
      </c>
      <c r="J25" s="66">
        <v>0.12009462217728162</v>
      </c>
    </row>
    <row r="26" spans="1:10" ht="11.25" customHeight="1" x14ac:dyDescent="0.25">
      <c r="A26"/>
      <c r="B26"/>
      <c r="C26"/>
      <c r="D26"/>
      <c r="E26"/>
      <c r="F26"/>
      <c r="G26"/>
      <c r="H26"/>
      <c r="I26"/>
      <c r="J26"/>
    </row>
    <row r="27" spans="1:10" ht="11.25" customHeight="1" x14ac:dyDescent="0.25">
      <c r="A27"/>
      <c r="B27"/>
      <c r="C27"/>
      <c r="D27"/>
      <c r="E27"/>
      <c r="F27"/>
      <c r="G27"/>
      <c r="H27"/>
      <c r="I27"/>
      <c r="J27"/>
    </row>
    <row r="28" spans="1:10" ht="11.25" customHeight="1" x14ac:dyDescent="0.25">
      <c r="A28"/>
      <c r="B28"/>
      <c r="C28"/>
      <c r="D28"/>
      <c r="E28"/>
      <c r="F28"/>
      <c r="G28"/>
      <c r="H28"/>
      <c r="I28"/>
      <c r="J28"/>
    </row>
    <row r="29" spans="1:10" ht="11.25" customHeight="1" x14ac:dyDescent="0.25">
      <c r="A29"/>
      <c r="B29"/>
      <c r="C29"/>
      <c r="D29"/>
      <c r="E29"/>
      <c r="F29"/>
      <c r="G29"/>
      <c r="H29"/>
      <c r="I29"/>
      <c r="J29"/>
    </row>
    <row r="30" spans="1:10" ht="11.25" customHeight="1" x14ac:dyDescent="0.25">
      <c r="A30"/>
      <c r="B30"/>
      <c r="C30"/>
      <c r="D30"/>
      <c r="E30"/>
      <c r="F30"/>
      <c r="G30"/>
      <c r="H30"/>
      <c r="I30"/>
      <c r="J30"/>
    </row>
    <row r="31" spans="1:10" ht="11.25" customHeight="1" x14ac:dyDescent="0.25">
      <c r="A31"/>
      <c r="B31"/>
      <c r="C31"/>
      <c r="D31"/>
      <c r="E31"/>
      <c r="F31"/>
      <c r="G31"/>
      <c r="H31"/>
      <c r="I31"/>
      <c r="J31"/>
    </row>
    <row r="32" spans="1:10" ht="11.25" customHeight="1" x14ac:dyDescent="0.25">
      <c r="A32"/>
      <c r="B32"/>
      <c r="C32"/>
      <c r="D32"/>
      <c r="E32"/>
      <c r="F32"/>
      <c r="G32"/>
      <c r="H32"/>
      <c r="I32"/>
      <c r="J32"/>
    </row>
    <row r="33" spans="1:10" ht="11.25" customHeight="1" x14ac:dyDescent="0.25">
      <c r="A33"/>
      <c r="B33"/>
      <c r="C33"/>
      <c r="D33"/>
      <c r="E33"/>
      <c r="F33"/>
      <c r="G33"/>
      <c r="H33"/>
      <c r="I33"/>
      <c r="J33"/>
    </row>
    <row r="34" spans="1:10" ht="11.25" customHeight="1" x14ac:dyDescent="0.25">
      <c r="A34"/>
      <c r="B34"/>
      <c r="C34"/>
      <c r="D34"/>
      <c r="E34"/>
      <c r="F34"/>
      <c r="G34"/>
      <c r="H34"/>
      <c r="I34"/>
      <c r="J34"/>
    </row>
    <row r="35" spans="1:10" ht="11.25" customHeight="1" x14ac:dyDescent="0.25">
      <c r="A35"/>
      <c r="B35"/>
      <c r="C35"/>
      <c r="D35"/>
      <c r="E35"/>
      <c r="F35"/>
      <c r="G35"/>
      <c r="H35"/>
      <c r="I35"/>
      <c r="J35"/>
    </row>
    <row r="36" spans="1:10" ht="11.25" customHeight="1" x14ac:dyDescent="0.25">
      <c r="A36"/>
      <c r="B36"/>
      <c r="C36"/>
      <c r="D36"/>
      <c r="E36"/>
      <c r="F36"/>
      <c r="G36"/>
      <c r="H36"/>
      <c r="I36"/>
      <c r="J36"/>
    </row>
    <row r="37" spans="1:10" ht="11.25" customHeight="1" x14ac:dyDescent="0.25">
      <c r="A37"/>
      <c r="B37"/>
      <c r="C37"/>
      <c r="D37"/>
      <c r="E37"/>
      <c r="F37"/>
      <c r="G37"/>
      <c r="H37"/>
      <c r="I37"/>
      <c r="J37"/>
    </row>
    <row r="38" spans="1:10" ht="11.25" customHeight="1" x14ac:dyDescent="0.25">
      <c r="A38"/>
      <c r="B38"/>
      <c r="C38"/>
      <c r="D38"/>
      <c r="E38"/>
      <c r="F38"/>
      <c r="G38"/>
      <c r="H38"/>
      <c r="I38"/>
      <c r="J38"/>
    </row>
    <row r="39" spans="1:10" ht="11.25" customHeight="1" x14ac:dyDescent="0.25">
      <c r="A39"/>
      <c r="B39"/>
      <c r="C39"/>
      <c r="D39"/>
      <c r="E39"/>
      <c r="F39"/>
      <c r="G39"/>
      <c r="H39"/>
      <c r="I39"/>
      <c r="J39"/>
    </row>
    <row r="40" spans="1:10" ht="11.25" customHeight="1" x14ac:dyDescent="0.25">
      <c r="A40"/>
      <c r="B40"/>
      <c r="C40"/>
      <c r="D40"/>
      <c r="E40"/>
      <c r="F40"/>
      <c r="G40"/>
      <c r="H40"/>
      <c r="I40"/>
      <c r="J40"/>
    </row>
    <row r="41" spans="1:10" ht="11.25" customHeight="1" x14ac:dyDescent="0.25">
      <c r="A41"/>
      <c r="B41"/>
      <c r="C41"/>
      <c r="D41"/>
      <c r="E41"/>
      <c r="F41"/>
      <c r="G41"/>
      <c r="H41"/>
      <c r="I41"/>
      <c r="J41"/>
    </row>
    <row r="42" spans="1:10" ht="11.25" customHeight="1" x14ac:dyDescent="0.25">
      <c r="A42"/>
      <c r="B42"/>
      <c r="C42"/>
      <c r="D42"/>
      <c r="E42"/>
      <c r="F42"/>
      <c r="G42"/>
      <c r="H42"/>
      <c r="I42"/>
      <c r="J42"/>
    </row>
    <row r="43" spans="1:10" ht="11.25" customHeight="1" x14ac:dyDescent="0.25">
      <c r="A43"/>
      <c r="B43"/>
      <c r="C43"/>
      <c r="D43"/>
      <c r="E43"/>
      <c r="F43"/>
      <c r="G43"/>
      <c r="H43"/>
      <c r="I43"/>
      <c r="J43"/>
    </row>
    <row r="44" spans="1:10" ht="11.25" customHeight="1" x14ac:dyDescent="0.25">
      <c r="A44"/>
      <c r="B44"/>
      <c r="C44"/>
      <c r="D44"/>
      <c r="E44"/>
      <c r="F44"/>
      <c r="G44"/>
      <c r="H44"/>
      <c r="I44"/>
      <c r="J44"/>
    </row>
    <row r="45" spans="1:10" ht="11.25" customHeight="1" x14ac:dyDescent="0.25">
      <c r="A45"/>
      <c r="B45"/>
      <c r="C45"/>
      <c r="D45"/>
      <c r="E45"/>
      <c r="F45"/>
      <c r="G45"/>
      <c r="H45"/>
      <c r="I45"/>
      <c r="J45"/>
    </row>
    <row r="46" spans="1:10" ht="11.25" customHeight="1" x14ac:dyDescent="0.25">
      <c r="A46"/>
      <c r="B46"/>
      <c r="C46"/>
      <c r="D46"/>
      <c r="E46"/>
      <c r="F46"/>
      <c r="G46"/>
      <c r="H46"/>
      <c r="I46"/>
      <c r="J46"/>
    </row>
    <row r="47" spans="1:10" ht="11.25" customHeight="1" x14ac:dyDescent="0.25">
      <c r="A47"/>
      <c r="B47"/>
      <c r="C47"/>
      <c r="D47"/>
      <c r="E47"/>
      <c r="F47"/>
      <c r="G47"/>
      <c r="H47"/>
      <c r="I47"/>
      <c r="J47"/>
    </row>
    <row r="48" spans="1:10" ht="11.25" customHeight="1" x14ac:dyDescent="0.25">
      <c r="A48"/>
      <c r="B48"/>
      <c r="C48"/>
      <c r="D48"/>
      <c r="E48"/>
      <c r="F48"/>
      <c r="G48"/>
      <c r="H48"/>
      <c r="I48"/>
      <c r="J48"/>
    </row>
    <row r="49" spans="1:10" ht="11.25" customHeight="1" x14ac:dyDescent="0.25">
      <c r="A49"/>
      <c r="B49"/>
      <c r="C49"/>
      <c r="D49"/>
      <c r="E49"/>
      <c r="F49"/>
      <c r="G49"/>
      <c r="H49"/>
      <c r="I49"/>
      <c r="J49"/>
    </row>
    <row r="50" spans="1:10" ht="11.25" customHeight="1" x14ac:dyDescent="0.25">
      <c r="A50"/>
      <c r="B50"/>
      <c r="C50"/>
      <c r="D50"/>
      <c r="E50"/>
      <c r="F50"/>
      <c r="G50"/>
      <c r="H50"/>
      <c r="I50"/>
      <c r="J50"/>
    </row>
    <row r="51" spans="1:10" ht="11.25" customHeight="1" x14ac:dyDescent="0.25">
      <c r="A51"/>
      <c r="B51"/>
      <c r="C51"/>
      <c r="D51"/>
      <c r="E51"/>
      <c r="F51"/>
      <c r="G51"/>
      <c r="H51"/>
      <c r="I51"/>
      <c r="J51"/>
    </row>
    <row r="52" spans="1:10" ht="11.25" customHeight="1" x14ac:dyDescent="0.25">
      <c r="A52"/>
      <c r="B52"/>
      <c r="C52"/>
      <c r="D52"/>
      <c r="E52"/>
      <c r="F52"/>
      <c r="G52"/>
      <c r="H52"/>
      <c r="I52"/>
      <c r="J52"/>
    </row>
    <row r="53" spans="1:10" ht="11.25" customHeight="1" x14ac:dyDescent="0.25">
      <c r="A53"/>
      <c r="B53"/>
      <c r="C53"/>
      <c r="D53"/>
      <c r="E53"/>
      <c r="F53"/>
      <c r="G53"/>
      <c r="H53"/>
      <c r="I53"/>
      <c r="J53"/>
    </row>
    <row r="54" spans="1:10" ht="11.25" customHeight="1" x14ac:dyDescent="0.25">
      <c r="A54"/>
      <c r="B54"/>
      <c r="C54"/>
      <c r="D54"/>
      <c r="E54"/>
      <c r="F54"/>
      <c r="G54"/>
      <c r="H54"/>
      <c r="I54"/>
      <c r="J54"/>
    </row>
    <row r="55" spans="1:10" ht="11.25" customHeight="1" x14ac:dyDescent="0.25">
      <c r="A55"/>
      <c r="B55"/>
      <c r="C55"/>
      <c r="D55"/>
      <c r="E55"/>
      <c r="F55"/>
      <c r="G55"/>
      <c r="H55"/>
      <c r="I55"/>
      <c r="J55"/>
    </row>
    <row r="56" spans="1:10" ht="11.25" customHeight="1" x14ac:dyDescent="0.25">
      <c r="A56"/>
      <c r="B56"/>
      <c r="C56"/>
      <c r="D56"/>
      <c r="E56"/>
      <c r="F56"/>
      <c r="G56"/>
      <c r="H56"/>
      <c r="I56"/>
      <c r="J56"/>
    </row>
    <row r="57" spans="1:10" ht="11.25" customHeight="1" x14ac:dyDescent="0.25">
      <c r="A57"/>
      <c r="B57"/>
      <c r="C57"/>
      <c r="D57"/>
      <c r="E57"/>
      <c r="F57"/>
      <c r="G57"/>
      <c r="H57"/>
      <c r="I57"/>
      <c r="J57"/>
    </row>
    <row r="58" spans="1:10" ht="11.25" customHeight="1" x14ac:dyDescent="0.25">
      <c r="A58"/>
      <c r="B58"/>
      <c r="C58"/>
      <c r="D58"/>
      <c r="E58"/>
      <c r="F58"/>
      <c r="G58"/>
      <c r="H58"/>
      <c r="I58"/>
      <c r="J58"/>
    </row>
    <row r="59" spans="1:10" ht="11.25" customHeight="1" x14ac:dyDescent="0.25">
      <c r="A59"/>
      <c r="B59"/>
      <c r="C59"/>
      <c r="D59"/>
      <c r="E59"/>
      <c r="F59"/>
      <c r="G59"/>
      <c r="H59"/>
      <c r="I59"/>
      <c r="J59"/>
    </row>
    <row r="60" spans="1:10" ht="11.25" customHeight="1" x14ac:dyDescent="0.25">
      <c r="A60"/>
      <c r="B60"/>
      <c r="C60"/>
      <c r="D60"/>
      <c r="E60"/>
      <c r="F60"/>
      <c r="G60"/>
      <c r="H60"/>
      <c r="I60"/>
      <c r="J60"/>
    </row>
    <row r="61" spans="1:10" ht="11.25" customHeight="1" x14ac:dyDescent="0.25">
      <c r="A61"/>
      <c r="B61"/>
      <c r="C61"/>
      <c r="D61"/>
      <c r="E61"/>
      <c r="F61"/>
      <c r="G61"/>
      <c r="H61"/>
      <c r="I61"/>
      <c r="J61"/>
    </row>
    <row r="62" spans="1:10" ht="11.25" customHeight="1" x14ac:dyDescent="0.25">
      <c r="A62"/>
      <c r="B62"/>
      <c r="C62"/>
      <c r="D62"/>
      <c r="E62"/>
      <c r="F62"/>
      <c r="G62"/>
      <c r="H62"/>
      <c r="I62"/>
      <c r="J62"/>
    </row>
    <row r="63" spans="1:10" ht="11.25" customHeight="1" x14ac:dyDescent="0.25">
      <c r="A63"/>
      <c r="B63"/>
      <c r="C63"/>
      <c r="D63"/>
      <c r="E63"/>
      <c r="F63"/>
      <c r="G63"/>
      <c r="H63"/>
      <c r="I63"/>
      <c r="J63"/>
    </row>
    <row r="64" spans="1:10" ht="11.25" customHeight="1" x14ac:dyDescent="0.25">
      <c r="A64"/>
      <c r="B64"/>
      <c r="C64"/>
      <c r="D64"/>
      <c r="E64"/>
      <c r="F64"/>
      <c r="G64"/>
      <c r="H64"/>
      <c r="I64"/>
      <c r="J64"/>
    </row>
    <row r="65" spans="1:10" ht="11.25" customHeight="1" x14ac:dyDescent="0.25">
      <c r="A65"/>
      <c r="B65"/>
      <c r="C65"/>
      <c r="D65"/>
      <c r="E65"/>
      <c r="F65"/>
      <c r="G65"/>
      <c r="H65"/>
      <c r="I65"/>
      <c r="J65"/>
    </row>
    <row r="66" spans="1:10" ht="11.25" customHeight="1" x14ac:dyDescent="0.25">
      <c r="A66"/>
      <c r="B66"/>
      <c r="C66"/>
      <c r="D66"/>
      <c r="E66"/>
      <c r="F66"/>
      <c r="G66"/>
      <c r="H66"/>
      <c r="I66"/>
      <c r="J66"/>
    </row>
    <row r="67" spans="1:10" ht="11.25" customHeight="1" x14ac:dyDescent="0.25">
      <c r="A67"/>
      <c r="B67"/>
      <c r="C67"/>
      <c r="D67"/>
      <c r="E67"/>
      <c r="F67"/>
      <c r="G67"/>
      <c r="H67"/>
      <c r="I67"/>
      <c r="J67"/>
    </row>
    <row r="68" spans="1:10" ht="11.25" customHeight="1" x14ac:dyDescent="0.25">
      <c r="A68"/>
      <c r="B68"/>
      <c r="C68"/>
      <c r="D68"/>
      <c r="E68"/>
      <c r="F68"/>
      <c r="G68"/>
      <c r="H68"/>
      <c r="I68"/>
      <c r="J68"/>
    </row>
    <row r="69" spans="1:10" ht="11.25" customHeight="1" x14ac:dyDescent="0.25">
      <c r="A69"/>
      <c r="B69"/>
      <c r="C69"/>
      <c r="D69"/>
      <c r="E69"/>
      <c r="F69"/>
      <c r="G69"/>
      <c r="H69"/>
      <c r="I69"/>
      <c r="J69"/>
    </row>
    <row r="70" spans="1:10" ht="11.25" customHeight="1" x14ac:dyDescent="0.25">
      <c r="A70"/>
      <c r="B70"/>
      <c r="C70"/>
      <c r="D70"/>
      <c r="E70"/>
      <c r="F70"/>
      <c r="G70"/>
      <c r="H70"/>
      <c r="I70"/>
      <c r="J70"/>
    </row>
    <row r="71" spans="1:10" ht="11.25" customHeight="1" x14ac:dyDescent="0.25">
      <c r="A71"/>
      <c r="B71"/>
      <c r="C71"/>
      <c r="D71"/>
      <c r="E71"/>
      <c r="F71"/>
      <c r="G71"/>
      <c r="H71"/>
      <c r="I71"/>
      <c r="J71"/>
    </row>
    <row r="72" spans="1:10" ht="11.25" customHeight="1" x14ac:dyDescent="0.25">
      <c r="A72"/>
      <c r="B72"/>
      <c r="C72"/>
      <c r="D72"/>
      <c r="E72"/>
      <c r="F72"/>
      <c r="G72"/>
      <c r="H72"/>
      <c r="I72"/>
      <c r="J72"/>
    </row>
    <row r="73" spans="1:10" ht="11.25" customHeight="1" x14ac:dyDescent="0.25">
      <c r="A73"/>
      <c r="B73"/>
      <c r="C73"/>
      <c r="D73"/>
      <c r="E73"/>
      <c r="F73"/>
      <c r="G73"/>
      <c r="H73"/>
      <c r="I73"/>
      <c r="J73"/>
    </row>
    <row r="74" spans="1:10" ht="11.25" customHeight="1" x14ac:dyDescent="0.25">
      <c r="A74"/>
      <c r="B74"/>
      <c r="C74"/>
      <c r="D74"/>
      <c r="E74"/>
      <c r="F74"/>
      <c r="G74"/>
      <c r="H74"/>
      <c r="I74"/>
      <c r="J74"/>
    </row>
    <row r="75" spans="1:10" ht="11.25" customHeight="1" x14ac:dyDescent="0.25">
      <c r="A75"/>
      <c r="B75"/>
      <c r="C75"/>
      <c r="D75"/>
      <c r="E75"/>
      <c r="F75"/>
      <c r="G75"/>
      <c r="H75"/>
      <c r="I75"/>
      <c r="J75"/>
    </row>
    <row r="76" spans="1:10" ht="11.25" customHeight="1" x14ac:dyDescent="0.25">
      <c r="A76"/>
      <c r="B76"/>
      <c r="C76"/>
      <c r="D76"/>
      <c r="E76"/>
      <c r="F76"/>
      <c r="G76"/>
      <c r="H76"/>
      <c r="I76"/>
      <c r="J76"/>
    </row>
    <row r="77" spans="1:10" ht="11.25" customHeight="1" x14ac:dyDescent="0.25">
      <c r="A77"/>
      <c r="B77"/>
      <c r="C77"/>
      <c r="D77"/>
      <c r="E77"/>
      <c r="F77"/>
      <c r="G77"/>
      <c r="H77"/>
      <c r="I77"/>
      <c r="J77"/>
    </row>
    <row r="78" spans="1:10" ht="11.25" customHeight="1" x14ac:dyDescent="0.25">
      <c r="A78"/>
      <c r="B78"/>
      <c r="C78"/>
      <c r="D78"/>
      <c r="E78"/>
      <c r="F78"/>
      <c r="G78"/>
      <c r="H78"/>
      <c r="I78"/>
      <c r="J78"/>
    </row>
    <row r="79" spans="1:10" ht="11.25" customHeight="1" x14ac:dyDescent="0.25">
      <c r="A79"/>
      <c r="B79"/>
      <c r="C79"/>
      <c r="D79"/>
      <c r="E79"/>
      <c r="F79"/>
      <c r="G79"/>
      <c r="H79"/>
      <c r="I79"/>
      <c r="J79"/>
    </row>
    <row r="80" spans="1:10" ht="11.25" customHeight="1" x14ac:dyDescent="0.25">
      <c r="A80"/>
      <c r="B80"/>
      <c r="C80"/>
      <c r="D80"/>
      <c r="E80"/>
      <c r="F80"/>
      <c r="G80"/>
      <c r="H80"/>
      <c r="I80"/>
      <c r="J80"/>
    </row>
    <row r="81" spans="1:10" ht="11.25" customHeight="1" x14ac:dyDescent="0.25">
      <c r="A81"/>
      <c r="B81"/>
      <c r="C81"/>
      <c r="D81"/>
      <c r="E81"/>
      <c r="F81"/>
      <c r="G81"/>
      <c r="H81"/>
      <c r="I81"/>
      <c r="J81"/>
    </row>
    <row r="82" spans="1:10" ht="11.25" customHeight="1" x14ac:dyDescent="0.25">
      <c r="A82"/>
      <c r="B82"/>
      <c r="C82"/>
      <c r="D82"/>
      <c r="E82"/>
      <c r="F82"/>
      <c r="G82"/>
      <c r="H82"/>
      <c r="I82"/>
      <c r="J82"/>
    </row>
    <row r="83" spans="1:10" ht="11.25" customHeight="1" x14ac:dyDescent="0.25">
      <c r="A83"/>
      <c r="B83"/>
      <c r="C83"/>
      <c r="D83"/>
      <c r="E83"/>
      <c r="F83"/>
      <c r="G83"/>
      <c r="H83"/>
      <c r="I83"/>
      <c r="J83"/>
    </row>
    <row r="84" spans="1:10" ht="11.25" customHeight="1" x14ac:dyDescent="0.25">
      <c r="A84"/>
      <c r="B84"/>
      <c r="C84"/>
      <c r="D84"/>
      <c r="E84"/>
      <c r="F84"/>
      <c r="G84"/>
      <c r="H84"/>
      <c r="I84"/>
      <c r="J84"/>
    </row>
    <row r="85" spans="1:10" ht="11.25" customHeight="1" x14ac:dyDescent="0.25">
      <c r="A85"/>
      <c r="B85"/>
      <c r="C85"/>
      <c r="D85"/>
      <c r="E85"/>
      <c r="F85"/>
      <c r="G85"/>
      <c r="H85"/>
      <c r="I85"/>
      <c r="J85"/>
    </row>
    <row r="86" spans="1:10" ht="11.25" customHeight="1" x14ac:dyDescent="0.25">
      <c r="A86"/>
      <c r="B86"/>
      <c r="C86"/>
      <c r="D86"/>
      <c r="E86"/>
      <c r="F86"/>
      <c r="G86"/>
      <c r="H86"/>
      <c r="I86"/>
      <c r="J86"/>
    </row>
    <row r="87" spans="1:10" ht="11.25" customHeight="1" x14ac:dyDescent="0.25">
      <c r="A87"/>
      <c r="B87"/>
      <c r="C87"/>
      <c r="D87"/>
      <c r="E87"/>
      <c r="F87"/>
      <c r="G87"/>
      <c r="H87"/>
      <c r="I87"/>
      <c r="J87"/>
    </row>
    <row r="88" spans="1:10" ht="11.25" customHeight="1" x14ac:dyDescent="0.25">
      <c r="A88"/>
      <c r="B88"/>
      <c r="C88"/>
      <c r="D88"/>
      <c r="E88"/>
      <c r="F88"/>
      <c r="G88"/>
      <c r="H88"/>
      <c r="I88"/>
      <c r="J88"/>
    </row>
    <row r="89" spans="1:10" ht="11.25" customHeight="1" x14ac:dyDescent="0.25">
      <c r="A89"/>
      <c r="B89"/>
      <c r="C89"/>
      <c r="D89"/>
      <c r="E89"/>
      <c r="F89"/>
      <c r="G89"/>
      <c r="H89"/>
      <c r="I89"/>
      <c r="J89"/>
    </row>
    <row r="90" spans="1:10" ht="11.25" customHeight="1" x14ac:dyDescent="0.25">
      <c r="A90"/>
      <c r="B90"/>
      <c r="C90"/>
      <c r="D90"/>
      <c r="E90"/>
      <c r="F90"/>
      <c r="G90"/>
      <c r="H90"/>
      <c r="I90"/>
      <c r="J90"/>
    </row>
    <row r="91" spans="1:10" ht="11.25" customHeight="1" x14ac:dyDescent="0.25">
      <c r="A91"/>
      <c r="B91"/>
      <c r="C91"/>
      <c r="D91"/>
      <c r="E91"/>
      <c r="F91"/>
      <c r="G91"/>
      <c r="H91"/>
      <c r="I91"/>
      <c r="J91"/>
    </row>
    <row r="92" spans="1:10" ht="11.25" customHeight="1" x14ac:dyDescent="0.25">
      <c r="A92"/>
      <c r="B92"/>
      <c r="C92"/>
      <c r="D92"/>
      <c r="E92"/>
      <c r="F92"/>
      <c r="G92"/>
      <c r="H92"/>
      <c r="I92"/>
      <c r="J92"/>
    </row>
    <row r="93" spans="1:10" ht="11.25" customHeight="1" x14ac:dyDescent="0.25">
      <c r="A93"/>
      <c r="B93"/>
      <c r="C93"/>
      <c r="D93"/>
      <c r="E93"/>
      <c r="F93"/>
      <c r="G93"/>
      <c r="H93"/>
      <c r="I93"/>
      <c r="J93"/>
    </row>
    <row r="94" spans="1:10" ht="11.25" customHeight="1" x14ac:dyDescent="0.25">
      <c r="A94"/>
      <c r="B94"/>
      <c r="C94"/>
      <c r="D94"/>
      <c r="E94"/>
      <c r="F94"/>
      <c r="G94"/>
      <c r="H94"/>
      <c r="I94"/>
      <c r="J94"/>
    </row>
    <row r="95" spans="1:10" ht="11.25" customHeight="1" x14ac:dyDescent="0.25">
      <c r="A95"/>
      <c r="B95"/>
      <c r="C95"/>
      <c r="D95"/>
      <c r="E95"/>
      <c r="F95"/>
      <c r="G95"/>
      <c r="H95"/>
      <c r="I95"/>
      <c r="J95"/>
    </row>
    <row r="96" spans="1:10" ht="11.25" customHeight="1" x14ac:dyDescent="0.25">
      <c r="A96"/>
      <c r="B96"/>
      <c r="C96"/>
      <c r="D96"/>
      <c r="E96"/>
      <c r="F96"/>
      <c r="G96"/>
      <c r="H96"/>
      <c r="I96"/>
      <c r="J96"/>
    </row>
    <row r="97" spans="1:10" ht="11.25" customHeight="1" x14ac:dyDescent="0.25">
      <c r="A97"/>
      <c r="B97"/>
      <c r="C97"/>
      <c r="D97"/>
      <c r="E97"/>
      <c r="F97"/>
      <c r="G97"/>
      <c r="H97"/>
      <c r="I97"/>
      <c r="J97"/>
    </row>
    <row r="98" spans="1:10" ht="11.25" customHeight="1" x14ac:dyDescent="0.25">
      <c r="A98"/>
      <c r="B98"/>
      <c r="C98"/>
      <c r="D98"/>
      <c r="E98"/>
      <c r="F98"/>
      <c r="G98"/>
      <c r="H98"/>
      <c r="I98"/>
      <c r="J98"/>
    </row>
    <row r="99" spans="1:10" ht="11.25" customHeight="1" x14ac:dyDescent="0.25">
      <c r="A99"/>
      <c r="B99"/>
      <c r="C99"/>
      <c r="D99"/>
      <c r="E99"/>
      <c r="F99"/>
      <c r="G99"/>
      <c r="H99"/>
      <c r="I99"/>
      <c r="J99"/>
    </row>
    <row r="100" spans="1:10" ht="11.25" customHeight="1" x14ac:dyDescent="0.25">
      <c r="A100"/>
      <c r="B100"/>
      <c r="C100"/>
      <c r="D100"/>
      <c r="E100"/>
      <c r="F100"/>
      <c r="G100"/>
      <c r="H100"/>
      <c r="I100"/>
      <c r="J100"/>
    </row>
    <row r="101" spans="1:10" ht="11.25" customHeight="1" x14ac:dyDescent="0.25">
      <c r="A101"/>
      <c r="B101"/>
      <c r="C101"/>
      <c r="D101"/>
      <c r="E101"/>
      <c r="F101"/>
      <c r="G101"/>
      <c r="H101"/>
      <c r="I101"/>
      <c r="J101"/>
    </row>
    <row r="102" spans="1:10" ht="11.25" customHeight="1" x14ac:dyDescent="0.25">
      <c r="A102"/>
      <c r="B102"/>
      <c r="C102"/>
      <c r="D102"/>
      <c r="E102"/>
      <c r="F102"/>
      <c r="G102"/>
      <c r="H102"/>
      <c r="I102"/>
      <c r="J102"/>
    </row>
    <row r="103" spans="1:10" ht="11.25" customHeight="1" x14ac:dyDescent="0.25">
      <c r="A103"/>
      <c r="B103"/>
      <c r="C103"/>
      <c r="D103"/>
      <c r="E103"/>
      <c r="F103"/>
      <c r="G103"/>
      <c r="H103"/>
      <c r="I103"/>
      <c r="J103"/>
    </row>
    <row r="104" spans="1:10" ht="11.25" customHeight="1" x14ac:dyDescent="0.25">
      <c r="A104"/>
      <c r="B104"/>
      <c r="C104"/>
      <c r="D104"/>
      <c r="E104"/>
      <c r="F104"/>
      <c r="G104"/>
      <c r="H104"/>
      <c r="I104"/>
      <c r="J104"/>
    </row>
    <row r="105" spans="1:10" ht="11.25" customHeight="1" x14ac:dyDescent="0.25">
      <c r="A105"/>
      <c r="B105"/>
      <c r="C105"/>
      <c r="D105"/>
      <c r="E105"/>
      <c r="F105"/>
      <c r="G105"/>
      <c r="H105"/>
      <c r="I105"/>
      <c r="J105"/>
    </row>
    <row r="106" spans="1:10" ht="11.25" customHeight="1" x14ac:dyDescent="0.25">
      <c r="A106"/>
      <c r="B106"/>
      <c r="C106"/>
      <c r="D106"/>
      <c r="E106"/>
      <c r="F106"/>
      <c r="G106"/>
      <c r="H106"/>
      <c r="I106"/>
      <c r="J106"/>
    </row>
    <row r="107" spans="1:10" ht="11.25" customHeight="1" x14ac:dyDescent="0.25">
      <c r="A107"/>
      <c r="B107"/>
      <c r="C107"/>
      <c r="D107"/>
      <c r="E107"/>
      <c r="F107"/>
      <c r="G107"/>
      <c r="H107"/>
      <c r="I107"/>
      <c r="J107"/>
    </row>
    <row r="108" spans="1:10" ht="11.25" customHeight="1" x14ac:dyDescent="0.25">
      <c r="A108"/>
      <c r="B108"/>
      <c r="C108"/>
      <c r="D108"/>
      <c r="E108"/>
      <c r="F108"/>
      <c r="G108"/>
      <c r="H108"/>
      <c r="I108"/>
      <c r="J108"/>
    </row>
    <row r="109" spans="1:10" ht="11.25" customHeight="1" x14ac:dyDescent="0.25">
      <c r="A109"/>
      <c r="B109"/>
      <c r="C109"/>
      <c r="D109"/>
      <c r="E109"/>
      <c r="F109"/>
      <c r="G109"/>
      <c r="H109"/>
      <c r="I109"/>
      <c r="J109"/>
    </row>
    <row r="110" spans="1:10" ht="11.25" customHeight="1" x14ac:dyDescent="0.25">
      <c r="A110"/>
      <c r="B110"/>
      <c r="C110"/>
      <c r="D110"/>
      <c r="E110"/>
      <c r="F110"/>
      <c r="G110"/>
      <c r="H110"/>
      <c r="I110"/>
      <c r="J110"/>
    </row>
    <row r="111" spans="1:10" ht="11.25" customHeight="1" x14ac:dyDescent="0.25">
      <c r="A111"/>
      <c r="B111"/>
      <c r="C111"/>
      <c r="D111"/>
      <c r="E111"/>
      <c r="F111"/>
      <c r="G111"/>
      <c r="H111"/>
      <c r="I111"/>
      <c r="J111"/>
    </row>
    <row r="112" spans="1:10" ht="11.25" customHeight="1" x14ac:dyDescent="0.25">
      <c r="A112"/>
      <c r="B112"/>
      <c r="C112"/>
      <c r="D112"/>
      <c r="E112"/>
      <c r="F112"/>
      <c r="G112"/>
      <c r="H112"/>
      <c r="I112"/>
      <c r="J112"/>
    </row>
    <row r="113" spans="1:10" ht="11.25" customHeight="1" x14ac:dyDescent="0.25">
      <c r="A113"/>
      <c r="B113"/>
      <c r="C113"/>
      <c r="D113"/>
      <c r="E113"/>
      <c r="F113"/>
      <c r="G113"/>
      <c r="H113"/>
      <c r="I113"/>
      <c r="J113"/>
    </row>
    <row r="114" spans="1:10" ht="11.25" customHeight="1" x14ac:dyDescent="0.25">
      <c r="A114"/>
      <c r="B114"/>
      <c r="C114"/>
      <c r="D114"/>
      <c r="E114"/>
      <c r="F114"/>
      <c r="G114"/>
      <c r="H114"/>
      <c r="I114"/>
      <c r="J114"/>
    </row>
    <row r="115" spans="1:10" ht="11.25" customHeight="1" x14ac:dyDescent="0.25">
      <c r="A115"/>
      <c r="B115"/>
      <c r="C115"/>
      <c r="D115"/>
      <c r="E115"/>
      <c r="F115"/>
      <c r="G115"/>
      <c r="H115"/>
      <c r="I115"/>
      <c r="J115"/>
    </row>
    <row r="116" spans="1:10" ht="11.25" customHeight="1" x14ac:dyDescent="0.25">
      <c r="A116"/>
      <c r="B116"/>
      <c r="C116"/>
      <c r="D116"/>
      <c r="E116"/>
      <c r="F116"/>
      <c r="G116"/>
      <c r="H116"/>
      <c r="I116"/>
      <c r="J116"/>
    </row>
    <row r="117" spans="1:10" ht="11.25" customHeight="1" x14ac:dyDescent="0.25">
      <c r="A117"/>
      <c r="B117"/>
      <c r="C117"/>
      <c r="D117"/>
      <c r="E117"/>
      <c r="F117"/>
      <c r="G117"/>
      <c r="H117"/>
      <c r="I117"/>
      <c r="J117"/>
    </row>
    <row r="118" spans="1:10" ht="11.25" customHeight="1" x14ac:dyDescent="0.25">
      <c r="A118"/>
      <c r="B118"/>
      <c r="C118"/>
      <c r="D118"/>
      <c r="E118"/>
      <c r="F118"/>
      <c r="G118"/>
      <c r="H118"/>
      <c r="I118"/>
      <c r="J118"/>
    </row>
    <row r="119" spans="1:10" ht="11.25" customHeight="1" x14ac:dyDescent="0.25">
      <c r="A119"/>
      <c r="B119"/>
      <c r="C119"/>
      <c r="D119"/>
      <c r="E119"/>
      <c r="F119"/>
      <c r="G119"/>
      <c r="H119"/>
      <c r="I119"/>
      <c r="J119"/>
    </row>
    <row r="120" spans="1:10" ht="11.25" customHeight="1" x14ac:dyDescent="0.25">
      <c r="A120"/>
      <c r="B120"/>
      <c r="C120"/>
      <c r="D120"/>
      <c r="E120"/>
      <c r="F120"/>
      <c r="G120"/>
      <c r="H120"/>
      <c r="I120"/>
      <c r="J120"/>
    </row>
    <row r="121" spans="1:10" ht="11.25" customHeight="1" x14ac:dyDescent="0.25">
      <c r="A121"/>
      <c r="B121"/>
      <c r="C121"/>
      <c r="D121"/>
      <c r="E121"/>
      <c r="F121"/>
      <c r="G121"/>
      <c r="H121"/>
      <c r="I121"/>
      <c r="J121"/>
    </row>
    <row r="122" spans="1:10" ht="11.25" customHeight="1" x14ac:dyDescent="0.25">
      <c r="A122"/>
      <c r="B122"/>
      <c r="C122"/>
      <c r="D122"/>
      <c r="E122"/>
      <c r="F122"/>
      <c r="G122"/>
      <c r="H122"/>
      <c r="I122"/>
      <c r="J122"/>
    </row>
    <row r="123" spans="1:10" ht="11.25" customHeight="1" x14ac:dyDescent="0.25">
      <c r="A123"/>
      <c r="B123"/>
      <c r="C123"/>
      <c r="D123"/>
      <c r="E123"/>
      <c r="F123"/>
      <c r="G123"/>
      <c r="H123"/>
      <c r="I123"/>
      <c r="J123"/>
    </row>
    <row r="124" spans="1:10" ht="11.25" customHeight="1" x14ac:dyDescent="0.25">
      <c r="A124"/>
      <c r="B124"/>
      <c r="C124"/>
      <c r="D124"/>
      <c r="E124"/>
      <c r="F124"/>
      <c r="G124"/>
      <c r="H124"/>
      <c r="I124"/>
      <c r="J124"/>
    </row>
    <row r="125" spans="1:10" ht="11.25" customHeight="1" x14ac:dyDescent="0.25">
      <c r="A125"/>
      <c r="B125"/>
      <c r="C125"/>
      <c r="D125"/>
      <c r="E125"/>
      <c r="F125"/>
      <c r="G125"/>
      <c r="H125"/>
      <c r="I125"/>
      <c r="J125"/>
    </row>
    <row r="126" spans="1:10" ht="11.25" customHeight="1" x14ac:dyDescent="0.25">
      <c r="A126"/>
      <c r="B126"/>
      <c r="C126"/>
      <c r="D126"/>
      <c r="E126"/>
      <c r="F126"/>
      <c r="G126"/>
      <c r="H126"/>
      <c r="I126"/>
      <c r="J126"/>
    </row>
    <row r="127" spans="1:10" ht="11.25" customHeight="1" x14ac:dyDescent="0.25">
      <c r="A127"/>
      <c r="B127"/>
      <c r="C127"/>
      <c r="D127"/>
      <c r="E127"/>
      <c r="F127"/>
      <c r="G127"/>
      <c r="H127"/>
      <c r="I127"/>
      <c r="J127"/>
    </row>
    <row r="128" spans="1:10" ht="11.25" customHeight="1" x14ac:dyDescent="0.25">
      <c r="A128"/>
      <c r="B128"/>
      <c r="C128"/>
      <c r="D128"/>
      <c r="E128"/>
      <c r="F128"/>
      <c r="G128"/>
      <c r="H128"/>
      <c r="I128"/>
      <c r="J128"/>
    </row>
    <row r="129" spans="1:10" ht="11.25" customHeight="1" x14ac:dyDescent="0.25">
      <c r="A129"/>
      <c r="B129"/>
      <c r="C129"/>
      <c r="D129"/>
      <c r="E129"/>
      <c r="F129"/>
      <c r="G129"/>
      <c r="H129"/>
      <c r="I129"/>
      <c r="J129"/>
    </row>
    <row r="130" spans="1:10" ht="11.25" customHeight="1" x14ac:dyDescent="0.25">
      <c r="A130"/>
      <c r="B130"/>
      <c r="C130"/>
      <c r="D130"/>
      <c r="E130"/>
      <c r="F130"/>
      <c r="G130"/>
      <c r="H130"/>
      <c r="I130"/>
      <c r="J130"/>
    </row>
    <row r="131" spans="1:10" ht="11.25" customHeight="1" x14ac:dyDescent="0.25">
      <c r="A131"/>
      <c r="B131"/>
      <c r="C131"/>
      <c r="D131"/>
      <c r="E131"/>
      <c r="F131"/>
      <c r="G131"/>
      <c r="H131"/>
      <c r="I131"/>
      <c r="J131"/>
    </row>
    <row r="132" spans="1:10" ht="11.25" customHeight="1" x14ac:dyDescent="0.25">
      <c r="A132"/>
      <c r="B132"/>
      <c r="C132"/>
      <c r="D132"/>
      <c r="E132"/>
      <c r="F132"/>
      <c r="G132"/>
      <c r="H132"/>
      <c r="I132"/>
      <c r="J132"/>
    </row>
    <row r="133" spans="1:10" ht="11.25" customHeight="1" x14ac:dyDescent="0.25">
      <c r="A133"/>
      <c r="B133"/>
      <c r="C133"/>
      <c r="D133"/>
      <c r="E133"/>
      <c r="F133"/>
      <c r="G133"/>
      <c r="H133"/>
      <c r="I133"/>
      <c r="J133"/>
    </row>
    <row r="134" spans="1:10" ht="11.25" customHeight="1" x14ac:dyDescent="0.25">
      <c r="A134"/>
      <c r="B134"/>
      <c r="C134"/>
      <c r="D134"/>
      <c r="E134"/>
      <c r="F134"/>
      <c r="G134"/>
      <c r="H134"/>
      <c r="I134"/>
      <c r="J134"/>
    </row>
    <row r="135" spans="1:10" ht="11.25" customHeight="1" x14ac:dyDescent="0.25">
      <c r="A135"/>
      <c r="B135"/>
      <c r="C135"/>
      <c r="D135"/>
      <c r="E135"/>
      <c r="F135"/>
      <c r="G135"/>
      <c r="H135"/>
      <c r="I135"/>
      <c r="J135"/>
    </row>
    <row r="136" spans="1:10" ht="11.25" customHeight="1" x14ac:dyDescent="0.25">
      <c r="A136"/>
      <c r="B136"/>
      <c r="C136"/>
      <c r="D136"/>
      <c r="E136"/>
      <c r="F136"/>
      <c r="G136"/>
      <c r="H136"/>
      <c r="I136"/>
      <c r="J136"/>
    </row>
    <row r="137" spans="1:10" ht="11.25" customHeight="1" x14ac:dyDescent="0.25">
      <c r="A137"/>
      <c r="B137"/>
      <c r="C137"/>
      <c r="D137"/>
      <c r="E137"/>
      <c r="F137"/>
      <c r="G137"/>
      <c r="H137"/>
      <c r="I137"/>
      <c r="J137"/>
    </row>
    <row r="138" spans="1:10" ht="11.25" customHeight="1" x14ac:dyDescent="0.25">
      <c r="A138"/>
      <c r="B138"/>
      <c r="C138"/>
      <c r="D138"/>
      <c r="E138"/>
      <c r="F138"/>
      <c r="G138"/>
      <c r="H138"/>
      <c r="I138"/>
      <c r="J138"/>
    </row>
    <row r="139" spans="1:10" ht="11.25" customHeight="1" x14ac:dyDescent="0.25">
      <c r="A139"/>
      <c r="B139"/>
      <c r="C139"/>
      <c r="D139"/>
      <c r="E139"/>
      <c r="F139"/>
      <c r="G139"/>
      <c r="H139"/>
      <c r="I139"/>
      <c r="J139"/>
    </row>
    <row r="140" spans="1:10" ht="11.25" customHeight="1" x14ac:dyDescent="0.25">
      <c r="A140"/>
      <c r="B140"/>
      <c r="C140"/>
      <c r="D140"/>
      <c r="E140"/>
      <c r="F140"/>
      <c r="G140"/>
      <c r="H140"/>
      <c r="I140"/>
      <c r="J140"/>
    </row>
    <row r="141" spans="1:10" ht="11.25" customHeight="1" x14ac:dyDescent="0.25">
      <c r="A141"/>
      <c r="B141"/>
      <c r="C141"/>
      <c r="D141"/>
      <c r="E141"/>
      <c r="F141"/>
      <c r="G141"/>
      <c r="H141"/>
      <c r="I141"/>
      <c r="J141"/>
    </row>
    <row r="142" spans="1:10" ht="11.25" customHeight="1" x14ac:dyDescent="0.25">
      <c r="A142"/>
      <c r="B142"/>
      <c r="C142"/>
      <c r="D142"/>
      <c r="E142"/>
      <c r="F142"/>
      <c r="G142"/>
      <c r="H142"/>
      <c r="I142"/>
      <c r="J142"/>
    </row>
    <row r="143" spans="1:10" ht="11.25" customHeight="1" x14ac:dyDescent="0.25">
      <c r="A143"/>
      <c r="B143"/>
      <c r="C143"/>
      <c r="D143"/>
      <c r="E143"/>
      <c r="F143"/>
      <c r="G143"/>
      <c r="H143"/>
      <c r="I143"/>
      <c r="J143"/>
    </row>
    <row r="144" spans="1:10" ht="11.25" customHeight="1" x14ac:dyDescent="0.25">
      <c r="A144"/>
      <c r="B144"/>
      <c r="C144"/>
      <c r="D144"/>
      <c r="E144"/>
      <c r="F144"/>
      <c r="G144"/>
      <c r="H144"/>
      <c r="I144"/>
      <c r="J144"/>
    </row>
    <row r="145" spans="1:10" ht="11.25" customHeight="1" x14ac:dyDescent="0.25">
      <c r="A145"/>
      <c r="B145"/>
      <c r="C145"/>
      <c r="D145"/>
      <c r="E145"/>
      <c r="F145"/>
      <c r="G145"/>
      <c r="H145"/>
      <c r="I145"/>
      <c r="J145"/>
    </row>
    <row r="146" spans="1:10" ht="11.25" customHeight="1" x14ac:dyDescent="0.25">
      <c r="A146"/>
      <c r="B146"/>
      <c r="C146"/>
      <c r="D146"/>
      <c r="E146"/>
      <c r="F146"/>
      <c r="G146"/>
      <c r="H146"/>
      <c r="I146"/>
      <c r="J146"/>
    </row>
    <row r="147" spans="1:10" ht="11.25" customHeight="1" x14ac:dyDescent="0.25">
      <c r="A147"/>
      <c r="B147"/>
      <c r="C147"/>
      <c r="D147"/>
      <c r="E147"/>
      <c r="F147"/>
      <c r="G147"/>
      <c r="H147"/>
      <c r="I147"/>
      <c r="J147"/>
    </row>
    <row r="148" spans="1:10" ht="11.25" customHeight="1" x14ac:dyDescent="0.25">
      <c r="A148"/>
      <c r="B148"/>
      <c r="C148"/>
      <c r="D148"/>
      <c r="E148"/>
      <c r="F148"/>
      <c r="G148"/>
      <c r="H148"/>
      <c r="I148"/>
      <c r="J148"/>
    </row>
    <row r="149" spans="1:10" ht="11.25" customHeight="1" x14ac:dyDescent="0.25">
      <c r="A149"/>
      <c r="B149"/>
      <c r="C149"/>
      <c r="D149"/>
      <c r="E149"/>
      <c r="F149"/>
      <c r="G149"/>
      <c r="H149"/>
      <c r="I149"/>
      <c r="J149"/>
    </row>
    <row r="150" spans="1:10" ht="11.25" customHeight="1" x14ac:dyDescent="0.25">
      <c r="A150"/>
      <c r="B150"/>
      <c r="C150"/>
      <c r="D150"/>
      <c r="E150"/>
      <c r="F150"/>
      <c r="G150"/>
      <c r="H150"/>
      <c r="I150"/>
      <c r="J150"/>
    </row>
    <row r="151" spans="1:10" ht="11.25" customHeight="1" x14ac:dyDescent="0.25">
      <c r="A151"/>
      <c r="B151"/>
      <c r="C151"/>
      <c r="D151"/>
      <c r="E151"/>
      <c r="F151"/>
      <c r="G151"/>
      <c r="H151"/>
      <c r="I151"/>
      <c r="J151"/>
    </row>
    <row r="152" spans="1:10" ht="11.25" customHeight="1" x14ac:dyDescent="0.25">
      <c r="A152"/>
      <c r="B152"/>
      <c r="C152"/>
      <c r="D152"/>
      <c r="E152"/>
      <c r="F152"/>
      <c r="G152"/>
      <c r="H152"/>
      <c r="I152"/>
      <c r="J152"/>
    </row>
    <row r="153" spans="1:10" ht="11.25" customHeight="1" x14ac:dyDescent="0.25">
      <c r="A153"/>
      <c r="B153"/>
      <c r="C153"/>
      <c r="D153"/>
      <c r="E153"/>
      <c r="F153"/>
      <c r="G153"/>
      <c r="H153"/>
      <c r="I153"/>
      <c r="J153"/>
    </row>
    <row r="154" spans="1:10" ht="11.25" customHeight="1" x14ac:dyDescent="0.25">
      <c r="A154"/>
      <c r="B154"/>
      <c r="C154"/>
      <c r="D154"/>
      <c r="E154"/>
      <c r="F154"/>
      <c r="G154"/>
      <c r="H154"/>
      <c r="I154"/>
      <c r="J154"/>
    </row>
    <row r="155" spans="1:10" ht="11.25" customHeight="1" x14ac:dyDescent="0.25">
      <c r="A155"/>
      <c r="B155"/>
      <c r="C155"/>
      <c r="D155"/>
      <c r="E155"/>
      <c r="F155"/>
      <c r="G155"/>
      <c r="H155"/>
      <c r="I155"/>
      <c r="J155"/>
    </row>
    <row r="156" spans="1:10" ht="11.25" customHeight="1" x14ac:dyDescent="0.25">
      <c r="A156"/>
      <c r="B156"/>
      <c r="C156"/>
      <c r="D156"/>
      <c r="E156"/>
      <c r="F156"/>
      <c r="G156"/>
      <c r="H156"/>
      <c r="I156"/>
      <c r="J156"/>
    </row>
    <row r="157" spans="1:10" ht="11.25" customHeight="1" x14ac:dyDescent="0.25">
      <c r="A157"/>
      <c r="B157"/>
      <c r="C157"/>
      <c r="D157"/>
      <c r="E157"/>
      <c r="F157"/>
      <c r="G157"/>
      <c r="H157"/>
      <c r="I157"/>
      <c r="J157"/>
    </row>
    <row r="158" spans="1:10" ht="11.25" customHeight="1" x14ac:dyDescent="0.25">
      <c r="A158"/>
      <c r="B158"/>
      <c r="C158"/>
      <c r="D158"/>
      <c r="E158"/>
      <c r="F158"/>
      <c r="G158"/>
      <c r="H158"/>
      <c r="I158"/>
      <c r="J158"/>
    </row>
    <row r="159" spans="1:10" ht="11.25" customHeight="1" x14ac:dyDescent="0.25">
      <c r="A159"/>
      <c r="B159"/>
      <c r="C159"/>
      <c r="D159"/>
      <c r="E159"/>
      <c r="F159"/>
      <c r="G159"/>
      <c r="H159"/>
      <c r="I159"/>
      <c r="J159"/>
    </row>
    <row r="160" spans="1:10" ht="11.25" customHeight="1" x14ac:dyDescent="0.25">
      <c r="A160"/>
      <c r="B160"/>
      <c r="C160"/>
      <c r="D160"/>
      <c r="E160"/>
      <c r="F160"/>
      <c r="G160"/>
      <c r="H160"/>
      <c r="I160"/>
      <c r="J160"/>
    </row>
    <row r="161" spans="1:10" ht="11.25" customHeight="1" x14ac:dyDescent="0.25">
      <c r="A161"/>
      <c r="B161"/>
      <c r="C161"/>
      <c r="D161"/>
      <c r="E161"/>
      <c r="F161"/>
      <c r="G161"/>
      <c r="H161"/>
      <c r="I161"/>
      <c r="J161"/>
    </row>
    <row r="162" spans="1:10" ht="11.25" customHeight="1" x14ac:dyDescent="0.25">
      <c r="A162"/>
      <c r="B162"/>
      <c r="C162"/>
      <c r="D162"/>
      <c r="E162"/>
      <c r="F162"/>
      <c r="G162"/>
      <c r="H162"/>
      <c r="I162"/>
      <c r="J162"/>
    </row>
    <row r="163" spans="1:10" ht="11.25" customHeight="1" x14ac:dyDescent="0.25">
      <c r="A163"/>
      <c r="B163"/>
      <c r="C163"/>
      <c r="D163"/>
      <c r="E163"/>
      <c r="F163"/>
      <c r="G163"/>
      <c r="H163"/>
      <c r="I163"/>
      <c r="J163"/>
    </row>
    <row r="164" spans="1:10" ht="11.25" customHeight="1" x14ac:dyDescent="0.25">
      <c r="A164"/>
      <c r="B164"/>
      <c r="C164"/>
      <c r="D164"/>
      <c r="E164"/>
      <c r="F164"/>
      <c r="G164"/>
      <c r="H164"/>
      <c r="I164"/>
      <c r="J164"/>
    </row>
    <row r="165" spans="1:10" ht="11.25" customHeight="1" x14ac:dyDescent="0.25">
      <c r="A165"/>
      <c r="B165"/>
      <c r="C165"/>
      <c r="D165"/>
      <c r="E165"/>
      <c r="F165"/>
      <c r="G165"/>
      <c r="H165"/>
      <c r="I165"/>
      <c r="J165"/>
    </row>
    <row r="166" spans="1:10" ht="11.25" customHeight="1" x14ac:dyDescent="0.25">
      <c r="A166"/>
      <c r="B166"/>
      <c r="C166"/>
      <c r="D166"/>
      <c r="E166"/>
      <c r="F166"/>
      <c r="G166"/>
      <c r="H166"/>
      <c r="I166"/>
      <c r="J166"/>
    </row>
    <row r="167" spans="1:10" ht="11.25" customHeight="1" x14ac:dyDescent="0.25">
      <c r="A167"/>
      <c r="B167"/>
      <c r="C167"/>
      <c r="D167"/>
      <c r="E167"/>
      <c r="F167"/>
      <c r="G167"/>
      <c r="H167"/>
      <c r="I167"/>
      <c r="J167"/>
    </row>
    <row r="168" spans="1:10" ht="11.25" customHeight="1" x14ac:dyDescent="0.25">
      <c r="A168"/>
      <c r="B168"/>
      <c r="C168"/>
      <c r="D168"/>
      <c r="E168"/>
      <c r="F168"/>
      <c r="G168"/>
      <c r="H168"/>
      <c r="I168"/>
      <c r="J168"/>
    </row>
    <row r="169" spans="1:10" ht="11.25" customHeight="1" x14ac:dyDescent="0.25">
      <c r="A169"/>
      <c r="B169"/>
      <c r="C169"/>
      <c r="D169"/>
      <c r="E169"/>
      <c r="F169"/>
      <c r="G169"/>
      <c r="H169"/>
      <c r="I169"/>
      <c r="J169"/>
    </row>
    <row r="170" spans="1:10" ht="11.25" customHeight="1" x14ac:dyDescent="0.25">
      <c r="A170"/>
      <c r="B170"/>
      <c r="C170"/>
      <c r="D170"/>
      <c r="E170"/>
      <c r="F170"/>
      <c r="G170"/>
      <c r="H170"/>
      <c r="I170"/>
      <c r="J170"/>
    </row>
    <row r="171" spans="1:10" ht="11.25" customHeight="1" x14ac:dyDescent="0.25">
      <c r="A171"/>
      <c r="B171"/>
      <c r="C171"/>
      <c r="D171"/>
      <c r="E171"/>
      <c r="F171"/>
      <c r="G171"/>
      <c r="H171"/>
      <c r="I171"/>
      <c r="J171"/>
    </row>
    <row r="172" spans="1:10" ht="11.25" customHeight="1" x14ac:dyDescent="0.25">
      <c r="A172"/>
      <c r="B172"/>
      <c r="C172"/>
      <c r="D172"/>
      <c r="E172"/>
      <c r="F172"/>
      <c r="G172"/>
      <c r="H172"/>
      <c r="I172"/>
      <c r="J172"/>
    </row>
    <row r="173" spans="1:10" ht="11.25" customHeight="1" x14ac:dyDescent="0.25">
      <c r="A173"/>
      <c r="B173"/>
      <c r="C173"/>
      <c r="D173"/>
      <c r="E173"/>
      <c r="F173"/>
      <c r="G173"/>
      <c r="H173"/>
      <c r="I173"/>
      <c r="J173"/>
    </row>
    <row r="174" spans="1:10" ht="11.25" customHeight="1" x14ac:dyDescent="0.25">
      <c r="A174"/>
      <c r="B174"/>
      <c r="C174"/>
      <c r="D174"/>
      <c r="E174"/>
      <c r="F174"/>
      <c r="G174"/>
      <c r="H174"/>
      <c r="I174"/>
      <c r="J174"/>
    </row>
    <row r="175" spans="1:10" ht="11.25" customHeight="1" x14ac:dyDescent="0.25">
      <c r="A175"/>
      <c r="B175"/>
      <c r="C175"/>
      <c r="D175"/>
      <c r="E175"/>
      <c r="F175"/>
      <c r="G175"/>
      <c r="H175"/>
      <c r="I175"/>
      <c r="J175"/>
    </row>
    <row r="176" spans="1:10" ht="11.25" customHeight="1" x14ac:dyDescent="0.25">
      <c r="A176"/>
      <c r="B176"/>
      <c r="C176"/>
      <c r="D176"/>
      <c r="E176"/>
      <c r="F176"/>
      <c r="G176"/>
      <c r="H176"/>
      <c r="I176"/>
      <c r="J176"/>
    </row>
    <row r="177" spans="1:10" ht="11.25" customHeight="1" x14ac:dyDescent="0.25">
      <c r="A177"/>
      <c r="B177"/>
      <c r="C177"/>
      <c r="D177"/>
      <c r="E177"/>
      <c r="F177"/>
      <c r="G177"/>
      <c r="H177"/>
      <c r="I177"/>
      <c r="J177"/>
    </row>
    <row r="178" spans="1:10" ht="11.25" customHeight="1" x14ac:dyDescent="0.25">
      <c r="A178"/>
      <c r="B178"/>
      <c r="C178"/>
      <c r="D178"/>
      <c r="E178"/>
      <c r="F178"/>
      <c r="G178"/>
      <c r="H178"/>
      <c r="I178"/>
      <c r="J178"/>
    </row>
    <row r="179" spans="1:10" ht="11.25" customHeight="1" x14ac:dyDescent="0.25">
      <c r="A179"/>
      <c r="B179"/>
      <c r="C179"/>
      <c r="D179"/>
      <c r="E179"/>
      <c r="F179"/>
      <c r="G179"/>
      <c r="H179"/>
      <c r="I179"/>
      <c r="J179"/>
    </row>
    <row r="180" spans="1:10" ht="11.25" customHeight="1" x14ac:dyDescent="0.25">
      <c r="A180"/>
      <c r="B180"/>
      <c r="C180"/>
      <c r="D180"/>
      <c r="E180"/>
      <c r="F180"/>
      <c r="G180"/>
      <c r="H180"/>
      <c r="I180"/>
      <c r="J180"/>
    </row>
    <row r="181" spans="1:10" ht="11.25" customHeight="1" x14ac:dyDescent="0.25">
      <c r="A181"/>
      <c r="B181"/>
      <c r="C181"/>
      <c r="D181"/>
      <c r="E181"/>
      <c r="F181"/>
      <c r="G181"/>
      <c r="H181"/>
      <c r="I181"/>
      <c r="J181"/>
    </row>
    <row r="182" spans="1:10" ht="11.25" customHeight="1" x14ac:dyDescent="0.25">
      <c r="A182"/>
      <c r="B182"/>
      <c r="C182"/>
      <c r="D182"/>
      <c r="E182"/>
      <c r="F182"/>
      <c r="G182"/>
      <c r="H182"/>
      <c r="I182"/>
      <c r="J182"/>
    </row>
    <row r="183" spans="1:10" ht="11.25" customHeight="1" x14ac:dyDescent="0.25">
      <c r="A183"/>
      <c r="B183"/>
      <c r="C183"/>
      <c r="D183"/>
      <c r="E183"/>
      <c r="F183"/>
      <c r="G183"/>
      <c r="H183"/>
      <c r="I183"/>
      <c r="J183"/>
    </row>
    <row r="184" spans="1:10" ht="11.25" customHeight="1" x14ac:dyDescent="0.25">
      <c r="A184"/>
      <c r="B184"/>
      <c r="C184"/>
      <c r="D184"/>
      <c r="E184"/>
      <c r="F184"/>
      <c r="G184"/>
      <c r="H184"/>
      <c r="I184"/>
      <c r="J184"/>
    </row>
    <row r="185" spans="1:10" ht="11.25" customHeight="1" x14ac:dyDescent="0.25">
      <c r="A185"/>
      <c r="B185"/>
      <c r="C185"/>
      <c r="D185"/>
      <c r="E185"/>
      <c r="F185"/>
      <c r="G185"/>
      <c r="H185"/>
      <c r="I185"/>
      <c r="J185"/>
    </row>
    <row r="186" spans="1:10" ht="11.25" customHeight="1" x14ac:dyDescent="0.25">
      <c r="A186"/>
      <c r="B186"/>
      <c r="C186"/>
      <c r="D186"/>
      <c r="E186"/>
      <c r="F186"/>
      <c r="G186"/>
      <c r="H186"/>
      <c r="I186"/>
      <c r="J186"/>
    </row>
    <row r="187" spans="1:10" ht="11.25" customHeight="1" x14ac:dyDescent="0.25">
      <c r="A187"/>
      <c r="B187"/>
      <c r="C187"/>
      <c r="D187"/>
      <c r="E187"/>
      <c r="F187"/>
      <c r="G187"/>
      <c r="H187"/>
      <c r="I187"/>
      <c r="J187"/>
    </row>
    <row r="188" spans="1:10" ht="11.25" customHeight="1" x14ac:dyDescent="0.25">
      <c r="A188"/>
      <c r="B188"/>
      <c r="C188"/>
      <c r="D188"/>
      <c r="E188"/>
      <c r="F188"/>
      <c r="G188"/>
      <c r="H188"/>
      <c r="I188"/>
      <c r="J188"/>
    </row>
    <row r="189" spans="1:10" ht="11.25" customHeight="1" x14ac:dyDescent="0.25">
      <c r="A189"/>
      <c r="B189"/>
      <c r="C189"/>
      <c r="D189"/>
      <c r="E189"/>
      <c r="F189"/>
      <c r="G189"/>
      <c r="H189"/>
      <c r="I189"/>
      <c r="J189"/>
    </row>
    <row r="190" spans="1:10" ht="11.25" customHeight="1" x14ac:dyDescent="0.25">
      <c r="A190"/>
      <c r="B190"/>
      <c r="C190"/>
      <c r="D190"/>
      <c r="E190"/>
      <c r="F190"/>
      <c r="G190"/>
      <c r="H190"/>
      <c r="I190"/>
      <c r="J190"/>
    </row>
    <row r="191" spans="1:10" ht="11.25" customHeight="1" x14ac:dyDescent="0.25">
      <c r="A191"/>
      <c r="B191"/>
      <c r="C191"/>
      <c r="D191"/>
      <c r="E191"/>
      <c r="F191"/>
      <c r="G191"/>
      <c r="H191"/>
      <c r="I191"/>
      <c r="J191"/>
    </row>
    <row r="192" spans="1:10" ht="11.25" customHeight="1" x14ac:dyDescent="0.25">
      <c r="A192"/>
      <c r="B192"/>
      <c r="C192"/>
      <c r="D192"/>
      <c r="E192"/>
      <c r="F192"/>
      <c r="G192"/>
      <c r="H192"/>
      <c r="I192"/>
      <c r="J192"/>
    </row>
    <row r="193" spans="1:10" ht="11.25" customHeight="1" x14ac:dyDescent="0.25">
      <c r="A193"/>
      <c r="B193"/>
      <c r="C193"/>
      <c r="D193"/>
      <c r="E193"/>
      <c r="F193"/>
      <c r="G193"/>
      <c r="H193"/>
      <c r="I193"/>
      <c r="J193"/>
    </row>
    <row r="194" spans="1:10" ht="11.25" customHeight="1" x14ac:dyDescent="0.25">
      <c r="A194"/>
      <c r="B194"/>
      <c r="C194"/>
      <c r="D194"/>
      <c r="E194"/>
      <c r="F194"/>
      <c r="G194"/>
      <c r="H194"/>
      <c r="I194"/>
      <c r="J194"/>
    </row>
    <row r="195" spans="1:10" ht="11.2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0" ht="11.2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0" ht="11.2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0" ht="11.2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0" ht="11.2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0" ht="11.2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0" ht="11.2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0" ht="11.2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0" ht="11.2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0" ht="11.2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0" ht="11.2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0" ht="11.2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0" ht="11.2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0" ht="11.25" customHeight="1" x14ac:dyDescent="0.25">
      <c r="A208"/>
      <c r="B208"/>
      <c r="C208"/>
      <c r="D208"/>
      <c r="E208"/>
      <c r="F208"/>
      <c r="G208"/>
      <c r="H208"/>
      <c r="I208"/>
      <c r="J208"/>
    </row>
    <row r="209" spans="1:10" ht="11.25" customHeight="1" x14ac:dyDescent="0.25">
      <c r="A209"/>
      <c r="B209"/>
      <c r="C209"/>
      <c r="D209"/>
      <c r="E209"/>
      <c r="F209"/>
      <c r="G209"/>
      <c r="H209"/>
      <c r="I209"/>
      <c r="J209"/>
    </row>
    <row r="210" spans="1:10" ht="11.25" customHeight="1" x14ac:dyDescent="0.25">
      <c r="A210"/>
      <c r="B210"/>
      <c r="C210"/>
      <c r="D210"/>
      <c r="E210"/>
      <c r="F210"/>
      <c r="G210"/>
      <c r="H210"/>
      <c r="I210"/>
      <c r="J210"/>
    </row>
    <row r="211" spans="1:10" ht="11.25" customHeight="1" x14ac:dyDescent="0.25">
      <c r="A211"/>
      <c r="B211"/>
      <c r="C211"/>
      <c r="D211"/>
      <c r="E211"/>
      <c r="F211"/>
      <c r="G211"/>
      <c r="H211"/>
      <c r="I211"/>
      <c r="J211"/>
    </row>
    <row r="212" spans="1:10" ht="11.25" customHeight="1" x14ac:dyDescent="0.25">
      <c r="A212"/>
      <c r="B212"/>
      <c r="C212"/>
      <c r="D212"/>
      <c r="E212"/>
      <c r="F212"/>
      <c r="G212"/>
      <c r="H212"/>
      <c r="I212"/>
      <c r="J212"/>
    </row>
    <row r="213" spans="1:10" ht="11.25" customHeight="1" x14ac:dyDescent="0.25">
      <c r="A213"/>
      <c r="B213"/>
      <c r="C213"/>
      <c r="D213"/>
      <c r="E213"/>
      <c r="F213"/>
      <c r="G213"/>
      <c r="H213"/>
      <c r="I213"/>
      <c r="J213"/>
    </row>
    <row r="214" spans="1:10" ht="11.25" customHeight="1" x14ac:dyDescent="0.25">
      <c r="A214"/>
      <c r="B214"/>
      <c r="C214"/>
      <c r="D214"/>
      <c r="E214"/>
      <c r="F214"/>
      <c r="G214"/>
      <c r="H214"/>
      <c r="I214"/>
      <c r="J214"/>
    </row>
    <row r="215" spans="1:10" ht="11.25" customHeight="1" x14ac:dyDescent="0.25">
      <c r="A215"/>
      <c r="B215"/>
      <c r="C215"/>
      <c r="D215"/>
      <c r="E215"/>
      <c r="F215"/>
      <c r="G215"/>
      <c r="H215"/>
      <c r="I215"/>
      <c r="J215"/>
    </row>
    <row r="216" spans="1:10" ht="11.25" customHeight="1" x14ac:dyDescent="0.25">
      <c r="A216"/>
      <c r="B216"/>
      <c r="C216"/>
      <c r="D216"/>
      <c r="E216"/>
      <c r="F216"/>
      <c r="G216"/>
      <c r="H216"/>
      <c r="I216"/>
      <c r="J216"/>
    </row>
    <row r="217" spans="1:10" ht="11.25" customHeight="1" x14ac:dyDescent="0.25">
      <c r="A217"/>
      <c r="B217"/>
      <c r="C217"/>
      <c r="D217"/>
      <c r="E217"/>
      <c r="F217"/>
      <c r="G217"/>
      <c r="H217"/>
      <c r="I217"/>
      <c r="J217"/>
    </row>
    <row r="218" spans="1:10" ht="11.25" customHeight="1" x14ac:dyDescent="0.25">
      <c r="A218"/>
      <c r="B218"/>
      <c r="C218"/>
      <c r="D218"/>
      <c r="E218"/>
      <c r="F218"/>
      <c r="G218"/>
      <c r="H218"/>
      <c r="I218"/>
      <c r="J218"/>
    </row>
    <row r="219" spans="1:10" ht="11.25" customHeight="1" x14ac:dyDescent="0.25">
      <c r="A219"/>
      <c r="B219"/>
      <c r="C219"/>
      <c r="D219"/>
      <c r="E219"/>
      <c r="F219"/>
      <c r="G219"/>
      <c r="H219"/>
      <c r="I219"/>
      <c r="J219"/>
    </row>
    <row r="220" spans="1:10" ht="11.25" customHeight="1" x14ac:dyDescent="0.25">
      <c r="A220"/>
      <c r="B220"/>
      <c r="C220"/>
      <c r="D220"/>
      <c r="E220"/>
      <c r="F220"/>
      <c r="G220"/>
      <c r="H220"/>
      <c r="I220"/>
      <c r="J220"/>
    </row>
    <row r="221" spans="1:10" ht="11.25" customHeight="1" x14ac:dyDescent="0.25">
      <c r="A221"/>
      <c r="B221"/>
      <c r="C221"/>
      <c r="D221"/>
      <c r="E221"/>
      <c r="F221"/>
      <c r="G221"/>
      <c r="H221"/>
      <c r="I221"/>
      <c r="J221"/>
    </row>
    <row r="222" spans="1:10" ht="11.25" customHeight="1" x14ac:dyDescent="0.25">
      <c r="A222"/>
      <c r="B222"/>
      <c r="C222"/>
      <c r="D222"/>
      <c r="E222"/>
      <c r="F222"/>
      <c r="G222"/>
      <c r="H222"/>
      <c r="I222"/>
      <c r="J222"/>
    </row>
    <row r="223" spans="1:10" ht="11.25" customHeight="1" x14ac:dyDescent="0.25">
      <c r="A223"/>
      <c r="B223"/>
      <c r="C223"/>
      <c r="D223"/>
      <c r="E223"/>
      <c r="F223"/>
      <c r="G223"/>
      <c r="H223"/>
      <c r="I223"/>
      <c r="J223"/>
    </row>
    <row r="224" spans="1:10" ht="11.25" customHeight="1" x14ac:dyDescent="0.25">
      <c r="A224"/>
      <c r="B224"/>
      <c r="C224"/>
      <c r="D224"/>
      <c r="E224"/>
      <c r="F224"/>
      <c r="G224"/>
      <c r="H224"/>
      <c r="I224"/>
      <c r="J224"/>
    </row>
    <row r="225" spans="1:10" ht="11.25" customHeight="1" x14ac:dyDescent="0.25">
      <c r="A225"/>
      <c r="B225"/>
      <c r="C225"/>
      <c r="D225"/>
      <c r="E225"/>
      <c r="F225"/>
      <c r="G225"/>
      <c r="H225"/>
      <c r="I225"/>
      <c r="J225"/>
    </row>
    <row r="226" spans="1:10" ht="11.25" customHeight="1" x14ac:dyDescent="0.25">
      <c r="A226"/>
      <c r="B226"/>
      <c r="C226"/>
      <c r="D226"/>
      <c r="E226"/>
      <c r="F226"/>
      <c r="G226"/>
      <c r="H226"/>
      <c r="I226"/>
      <c r="J226"/>
    </row>
    <row r="227" spans="1:10" ht="11.25" customHeight="1" x14ac:dyDescent="0.25">
      <c r="A227"/>
      <c r="B227"/>
      <c r="C227"/>
      <c r="D227"/>
      <c r="E227"/>
      <c r="F227"/>
      <c r="G227"/>
      <c r="H227"/>
      <c r="I227"/>
      <c r="J227"/>
    </row>
    <row r="228" spans="1:10" ht="11.25" customHeight="1" x14ac:dyDescent="0.25">
      <c r="A228"/>
      <c r="B228"/>
      <c r="C228"/>
      <c r="D228"/>
      <c r="E228"/>
      <c r="F228"/>
      <c r="G228"/>
      <c r="H228"/>
      <c r="I228"/>
      <c r="J228"/>
    </row>
    <row r="229" spans="1:10" ht="11.25" customHeight="1" x14ac:dyDescent="0.25">
      <c r="A229"/>
      <c r="B229"/>
      <c r="C229"/>
      <c r="D229"/>
      <c r="E229"/>
      <c r="F229"/>
      <c r="G229"/>
      <c r="H229"/>
      <c r="I229"/>
      <c r="J229"/>
    </row>
    <row r="230" spans="1:10" ht="11.25" customHeight="1" x14ac:dyDescent="0.25">
      <c r="A230"/>
      <c r="B230"/>
      <c r="C230"/>
      <c r="D230"/>
      <c r="E230"/>
      <c r="F230"/>
      <c r="G230"/>
      <c r="H230"/>
      <c r="I230"/>
      <c r="J230"/>
    </row>
    <row r="231" spans="1:10" ht="11.25" customHeight="1" x14ac:dyDescent="0.25">
      <c r="A231"/>
      <c r="B231"/>
      <c r="C231"/>
      <c r="D231"/>
      <c r="E231"/>
      <c r="F231"/>
      <c r="G231"/>
      <c r="H231"/>
      <c r="I231"/>
      <c r="J231"/>
    </row>
    <row r="232" spans="1:10" ht="11.25" customHeight="1" x14ac:dyDescent="0.25">
      <c r="A232"/>
      <c r="B232"/>
      <c r="C232"/>
      <c r="D232"/>
      <c r="E232"/>
      <c r="F232"/>
      <c r="G232"/>
      <c r="H232"/>
      <c r="I232"/>
      <c r="J232"/>
    </row>
    <row r="233" spans="1:10" ht="11.25" customHeight="1" x14ac:dyDescent="0.25">
      <c r="A233"/>
      <c r="B233"/>
      <c r="C233"/>
      <c r="D233"/>
      <c r="E233"/>
      <c r="F233"/>
      <c r="G233"/>
      <c r="H233"/>
      <c r="I233"/>
      <c r="J233"/>
    </row>
    <row r="234" spans="1:10" ht="11.25" customHeight="1" x14ac:dyDescent="0.25">
      <c r="A234"/>
      <c r="B234"/>
      <c r="C234"/>
      <c r="D234"/>
      <c r="E234"/>
      <c r="F234"/>
      <c r="G234"/>
      <c r="H234"/>
      <c r="I234"/>
      <c r="J234"/>
    </row>
    <row r="235" spans="1:10" ht="11.25" customHeight="1" x14ac:dyDescent="0.25">
      <c r="A235"/>
      <c r="B235"/>
      <c r="C235"/>
      <c r="D235"/>
      <c r="E235"/>
      <c r="F235"/>
      <c r="G235"/>
      <c r="H235"/>
      <c r="I235"/>
      <c r="J235"/>
    </row>
    <row r="236" spans="1:10" ht="11.25" customHeight="1" x14ac:dyDescent="0.25">
      <c r="A236"/>
      <c r="B236"/>
      <c r="C236"/>
      <c r="D236"/>
      <c r="E236"/>
      <c r="F236"/>
      <c r="G236"/>
      <c r="H236"/>
      <c r="I236"/>
      <c r="J236"/>
    </row>
    <row r="237" spans="1:10" ht="11.25" customHeight="1" x14ac:dyDescent="0.25">
      <c r="A237"/>
      <c r="B237"/>
      <c r="C237"/>
      <c r="D237"/>
      <c r="E237"/>
      <c r="F237"/>
      <c r="G237"/>
      <c r="H237"/>
      <c r="I237"/>
      <c r="J237"/>
    </row>
    <row r="238" spans="1:10" ht="11.25" customHeight="1" x14ac:dyDescent="0.25">
      <c r="A238"/>
      <c r="B238"/>
      <c r="C238"/>
      <c r="D238"/>
      <c r="E238"/>
      <c r="F238"/>
      <c r="G238"/>
      <c r="H238"/>
      <c r="I238"/>
      <c r="J238"/>
    </row>
    <row r="239" spans="1:10" ht="11.25" customHeight="1" x14ac:dyDescent="0.25">
      <c r="A239"/>
      <c r="B239"/>
      <c r="C239"/>
      <c r="D239"/>
      <c r="E239"/>
      <c r="F239"/>
      <c r="G239"/>
      <c r="H239"/>
      <c r="I239"/>
      <c r="J239"/>
    </row>
    <row r="240" spans="1:10" ht="11.25" customHeight="1" x14ac:dyDescent="0.25">
      <c r="A240"/>
      <c r="B240"/>
      <c r="C240"/>
      <c r="D240"/>
      <c r="E240"/>
      <c r="F240"/>
      <c r="G240"/>
      <c r="H240"/>
      <c r="I240"/>
      <c r="J240"/>
    </row>
    <row r="241" spans="1:10" ht="11.25" customHeight="1" x14ac:dyDescent="0.25">
      <c r="A241"/>
      <c r="B241"/>
      <c r="C241"/>
      <c r="D241"/>
      <c r="E241"/>
      <c r="F241"/>
      <c r="G241"/>
      <c r="H241"/>
      <c r="I241"/>
      <c r="J241"/>
    </row>
    <row r="242" spans="1:10" ht="11.25" customHeight="1" x14ac:dyDescent="0.25">
      <c r="A242"/>
      <c r="B242"/>
      <c r="C242"/>
      <c r="D242"/>
      <c r="E242"/>
      <c r="F242"/>
      <c r="G242"/>
      <c r="H242"/>
      <c r="I242"/>
      <c r="J242"/>
    </row>
    <row r="243" spans="1:10" ht="11.25" customHeight="1" x14ac:dyDescent="0.25">
      <c r="A243"/>
      <c r="B243"/>
      <c r="C243"/>
      <c r="D243"/>
      <c r="E243"/>
      <c r="F243"/>
      <c r="G243"/>
      <c r="H243"/>
      <c r="I243"/>
      <c r="J243"/>
    </row>
    <row r="244" spans="1:10" ht="11.25" customHeight="1" x14ac:dyDescent="0.25">
      <c r="A244"/>
      <c r="B244"/>
      <c r="C244"/>
      <c r="D244"/>
      <c r="E244"/>
      <c r="F244"/>
      <c r="G244"/>
      <c r="H244"/>
      <c r="I244"/>
      <c r="J244"/>
    </row>
    <row r="245" spans="1:10" ht="11.25" customHeight="1" x14ac:dyDescent="0.25">
      <c r="A245"/>
      <c r="B245"/>
      <c r="C245"/>
      <c r="D245"/>
      <c r="E245"/>
      <c r="F245"/>
      <c r="G245"/>
      <c r="H245"/>
      <c r="I245"/>
      <c r="J245"/>
    </row>
    <row r="246" spans="1:10" ht="11.25" customHeight="1" x14ac:dyDescent="0.25">
      <c r="A246"/>
      <c r="B246"/>
      <c r="C246"/>
      <c r="D246"/>
      <c r="E246"/>
      <c r="F246"/>
      <c r="G246"/>
      <c r="H246"/>
      <c r="I246"/>
      <c r="J246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C4C0-18CF-4575-BC41-0939F87C54A2}">
  <dimension ref="A1:G95"/>
  <sheetViews>
    <sheetView showGridLines="0" workbookViewId="0"/>
  </sheetViews>
  <sheetFormatPr defaultRowHeight="11.25" customHeight="1" x14ac:dyDescent="0.2"/>
  <cols>
    <col min="1" max="1" width="34.7109375" style="14" bestFit="1" customWidth="1"/>
    <col min="2" max="2" width="20.42578125" style="39" bestFit="1" customWidth="1"/>
    <col min="3" max="3" width="21.85546875" style="39" bestFit="1" customWidth="1"/>
    <col min="4" max="4" width="20.28515625" style="39" bestFit="1" customWidth="1"/>
    <col min="5" max="5" width="21.7109375" style="39" bestFit="1" customWidth="1"/>
    <col min="6" max="6" width="14.85546875" style="39" bestFit="1" customWidth="1"/>
    <col min="7" max="7" width="14.7109375" style="39" bestFit="1" customWidth="1"/>
    <col min="8" max="16384" width="9.140625" style="14"/>
  </cols>
  <sheetData>
    <row r="1" spans="1:7" ht="11.25" customHeight="1" x14ac:dyDescent="0.2">
      <c r="A1" s="38" t="s">
        <v>509</v>
      </c>
      <c r="B1" s="39" t="s">
        <v>535</v>
      </c>
      <c r="C1" s="39" t="s">
        <v>536</v>
      </c>
      <c r="D1" s="39" t="s">
        <v>537</v>
      </c>
      <c r="E1" s="39" t="s">
        <v>538</v>
      </c>
      <c r="F1" s="39" t="s">
        <v>539</v>
      </c>
      <c r="G1" s="39" t="s">
        <v>540</v>
      </c>
    </row>
    <row r="2" spans="1:7" ht="11.25" customHeight="1" x14ac:dyDescent="0.2">
      <c r="A2" s="41" t="s">
        <v>526</v>
      </c>
      <c r="B2" s="39">
        <v>0</v>
      </c>
      <c r="C2" s="39">
        <v>356.24347499999993</v>
      </c>
      <c r="D2" s="39">
        <v>0</v>
      </c>
      <c r="E2" s="39">
        <v>410.24746278204674</v>
      </c>
      <c r="F2" s="39">
        <v>356.24347499999993</v>
      </c>
      <c r="G2" s="39">
        <v>410.24746278204674</v>
      </c>
    </row>
    <row r="3" spans="1:7" ht="11.25" customHeight="1" x14ac:dyDescent="0.2">
      <c r="A3" s="42" t="s">
        <v>31</v>
      </c>
      <c r="B3" s="39">
        <v>0</v>
      </c>
      <c r="C3" s="39">
        <v>356.24347499999993</v>
      </c>
      <c r="D3" s="39">
        <v>0</v>
      </c>
      <c r="E3" s="39">
        <v>410.24746278204674</v>
      </c>
      <c r="F3" s="39">
        <v>356.24347499999993</v>
      </c>
      <c r="G3" s="39">
        <v>410.24746278204674</v>
      </c>
    </row>
    <row r="4" spans="1:7" ht="11.25" customHeight="1" x14ac:dyDescent="0.2">
      <c r="A4" s="43" t="s">
        <v>23</v>
      </c>
      <c r="B4" s="39">
        <v>0</v>
      </c>
      <c r="C4" s="39">
        <v>356.24347499999993</v>
      </c>
      <c r="D4" s="39">
        <v>0</v>
      </c>
      <c r="E4" s="39">
        <v>410.24746278204674</v>
      </c>
      <c r="F4" s="39">
        <v>356.24347499999993</v>
      </c>
      <c r="G4" s="39">
        <v>410.24746278204674</v>
      </c>
    </row>
    <row r="5" spans="1:7" ht="11.25" customHeight="1" x14ac:dyDescent="0.2">
      <c r="A5" s="44" t="s">
        <v>45</v>
      </c>
      <c r="B5" s="39">
        <v>0</v>
      </c>
      <c r="C5" s="39">
        <v>356.24347499999993</v>
      </c>
      <c r="D5" s="39">
        <v>0</v>
      </c>
      <c r="E5" s="39">
        <v>410.24746278204674</v>
      </c>
      <c r="F5" s="39">
        <v>356.24347499999993</v>
      </c>
      <c r="G5" s="39">
        <v>410.24746278204674</v>
      </c>
    </row>
    <row r="6" spans="1:7" ht="11.25" customHeight="1" x14ac:dyDescent="0.2">
      <c r="A6" s="45" t="s">
        <v>46</v>
      </c>
      <c r="B6" s="39">
        <v>0</v>
      </c>
      <c r="C6" s="39">
        <v>356.24347499999993</v>
      </c>
      <c r="D6" s="39">
        <v>0</v>
      </c>
      <c r="E6" s="39">
        <v>410.24746278204674</v>
      </c>
      <c r="F6" s="39">
        <v>356.24347499999993</v>
      </c>
      <c r="G6" s="39">
        <v>410.24746278204674</v>
      </c>
    </row>
    <row r="7" spans="1:7" ht="11.25" customHeight="1" x14ac:dyDescent="0.2">
      <c r="A7" s="46" t="s">
        <v>25</v>
      </c>
      <c r="B7" s="39">
        <v>0</v>
      </c>
      <c r="C7" s="39">
        <v>356.24347499999993</v>
      </c>
      <c r="D7" s="39">
        <v>0</v>
      </c>
      <c r="E7" s="39">
        <v>410.24746278204674</v>
      </c>
      <c r="F7" s="39">
        <v>356.24347499999993</v>
      </c>
      <c r="G7" s="39">
        <v>410.24746278204674</v>
      </c>
    </row>
    <row r="8" spans="1:7" ht="11.25" customHeight="1" x14ac:dyDescent="0.2">
      <c r="A8" s="47" t="s">
        <v>25</v>
      </c>
      <c r="B8" s="39">
        <v>0</v>
      </c>
      <c r="C8" s="39">
        <v>356.24347499999993</v>
      </c>
      <c r="D8" s="39">
        <v>0</v>
      </c>
      <c r="E8" s="39">
        <v>410.24746278204674</v>
      </c>
      <c r="F8" s="39">
        <v>356.24347499999993</v>
      </c>
      <c r="G8" s="39">
        <v>410.24746278204674</v>
      </c>
    </row>
    <row r="9" spans="1:7" ht="11.25" customHeight="1" x14ac:dyDescent="0.2">
      <c r="A9" s="48" t="s">
        <v>25</v>
      </c>
      <c r="B9" s="39">
        <v>0</v>
      </c>
      <c r="C9" s="39">
        <v>356.24347499999993</v>
      </c>
      <c r="D9" s="39">
        <v>0</v>
      </c>
      <c r="E9" s="39">
        <v>410.24746278204674</v>
      </c>
      <c r="F9" s="39">
        <v>356.24347499999993</v>
      </c>
      <c r="G9" s="39">
        <v>410.24746278204674</v>
      </c>
    </row>
    <row r="10" spans="1:7" ht="11.25" customHeight="1" x14ac:dyDescent="0.2">
      <c r="A10" s="49">
        <v>44440</v>
      </c>
      <c r="B10" s="39">
        <v>0</v>
      </c>
      <c r="C10" s="39">
        <v>30.857925000000019</v>
      </c>
      <c r="D10" s="39">
        <v>0</v>
      </c>
      <c r="E10" s="39">
        <v>35.53576788450286</v>
      </c>
      <c r="F10" s="39">
        <v>30.857925000000019</v>
      </c>
      <c r="G10" s="39">
        <v>35.53576788450286</v>
      </c>
    </row>
    <row r="11" spans="1:7" ht="11.25" customHeight="1" x14ac:dyDescent="0.2">
      <c r="A11" s="49">
        <v>44470</v>
      </c>
      <c r="B11" s="39">
        <v>0</v>
      </c>
      <c r="C11" s="39">
        <v>28.353675000000038</v>
      </c>
      <c r="D11" s="39">
        <v>0</v>
      </c>
      <c r="E11" s="39">
        <v>32.651891320386333</v>
      </c>
      <c r="F11" s="39">
        <v>28.353675000000038</v>
      </c>
      <c r="G11" s="39">
        <v>32.651891320386333</v>
      </c>
    </row>
    <row r="12" spans="1:7" ht="11.25" customHeight="1" x14ac:dyDescent="0.2">
      <c r="A12" s="49">
        <v>44501</v>
      </c>
      <c r="B12" s="39">
        <v>0</v>
      </c>
      <c r="C12" s="39">
        <v>30.217950000000052</v>
      </c>
      <c r="D12" s="39">
        <v>0</v>
      </c>
      <c r="E12" s="39">
        <v>34.798777207006445</v>
      </c>
      <c r="F12" s="39">
        <v>30.217950000000052</v>
      </c>
      <c r="G12" s="39">
        <v>34.798777207006445</v>
      </c>
    </row>
    <row r="13" spans="1:7" ht="11.25" customHeight="1" x14ac:dyDescent="0.2">
      <c r="A13" s="49">
        <v>44531</v>
      </c>
      <c r="B13" s="39">
        <v>0</v>
      </c>
      <c r="C13" s="39">
        <v>35.198624999999936</v>
      </c>
      <c r="D13" s="39">
        <v>0</v>
      </c>
      <c r="E13" s="39">
        <v>40.534487262304779</v>
      </c>
      <c r="F13" s="39">
        <v>35.198624999999936</v>
      </c>
      <c r="G13" s="39">
        <v>40.534487262304779</v>
      </c>
    </row>
    <row r="14" spans="1:7" ht="11.25" customHeight="1" x14ac:dyDescent="0.2">
      <c r="A14" s="49">
        <v>44562</v>
      </c>
      <c r="B14" s="39">
        <v>0</v>
      </c>
      <c r="C14" s="39">
        <v>33.835199999999958</v>
      </c>
      <c r="D14" s="39">
        <v>0</v>
      </c>
      <c r="E14" s="39">
        <v>38.964376688508025</v>
      </c>
      <c r="F14" s="39">
        <v>33.835199999999958</v>
      </c>
      <c r="G14" s="39">
        <v>38.964376688508025</v>
      </c>
    </row>
    <row r="15" spans="1:7" ht="11.25" customHeight="1" x14ac:dyDescent="0.2">
      <c r="A15" s="49">
        <v>44621</v>
      </c>
      <c r="B15" s="39">
        <v>0</v>
      </c>
      <c r="C15" s="39">
        <v>30.607500000000027</v>
      </c>
      <c r="D15" s="39">
        <v>0</v>
      </c>
      <c r="E15" s="39">
        <v>35.247380228091217</v>
      </c>
      <c r="F15" s="39">
        <v>30.607500000000027</v>
      </c>
      <c r="G15" s="39">
        <v>35.247380228091217</v>
      </c>
    </row>
    <row r="16" spans="1:7" ht="11.25" customHeight="1" x14ac:dyDescent="0.2">
      <c r="A16" s="49">
        <v>44652</v>
      </c>
      <c r="B16" s="39">
        <v>0</v>
      </c>
      <c r="C16" s="39">
        <v>34.530825000000092</v>
      </c>
      <c r="D16" s="39">
        <v>0</v>
      </c>
      <c r="E16" s="39">
        <v>39.765453511873886</v>
      </c>
      <c r="F16" s="39">
        <v>34.530825000000092</v>
      </c>
      <c r="G16" s="39">
        <v>39.765453511873886</v>
      </c>
    </row>
    <row r="17" spans="1:7" ht="11.25" customHeight="1" x14ac:dyDescent="0.2">
      <c r="A17" s="49">
        <v>44682</v>
      </c>
      <c r="B17" s="39">
        <v>0</v>
      </c>
      <c r="C17" s="39">
        <v>31.720499999999902</v>
      </c>
      <c r="D17" s="39">
        <v>0</v>
      </c>
      <c r="E17" s="39">
        <v>36.529103145476206</v>
      </c>
      <c r="F17" s="39">
        <v>31.720499999999902</v>
      </c>
      <c r="G17" s="39">
        <v>36.529103145476206</v>
      </c>
    </row>
    <row r="18" spans="1:7" ht="11.25" customHeight="1" x14ac:dyDescent="0.2">
      <c r="A18" s="49">
        <v>44713</v>
      </c>
      <c r="B18" s="39">
        <v>0</v>
      </c>
      <c r="C18" s="39">
        <v>35.170799999999957</v>
      </c>
      <c r="D18" s="39">
        <v>0</v>
      </c>
      <c r="E18" s="39">
        <v>40.502444189370181</v>
      </c>
      <c r="F18" s="39">
        <v>35.170799999999957</v>
      </c>
      <c r="G18" s="39">
        <v>40.502444189370181</v>
      </c>
    </row>
    <row r="19" spans="1:7" ht="11.25" customHeight="1" x14ac:dyDescent="0.2">
      <c r="A19" s="49">
        <v>44743</v>
      </c>
      <c r="B19" s="39">
        <v>0</v>
      </c>
      <c r="C19" s="39">
        <v>32.638725000000051</v>
      </c>
      <c r="D19" s="39">
        <v>0</v>
      </c>
      <c r="E19" s="39">
        <v>37.586524552319105</v>
      </c>
      <c r="F19" s="39">
        <v>32.638725000000051</v>
      </c>
      <c r="G19" s="39">
        <v>37.586524552319105</v>
      </c>
    </row>
    <row r="20" spans="1:7" ht="11.25" customHeight="1" x14ac:dyDescent="0.2">
      <c r="A20" s="49">
        <v>44774</v>
      </c>
      <c r="B20" s="39">
        <v>0</v>
      </c>
      <c r="C20" s="39">
        <v>33.111749999999958</v>
      </c>
      <c r="D20" s="39">
        <v>0</v>
      </c>
      <c r="E20" s="39">
        <v>38.131256792207687</v>
      </c>
      <c r="F20" s="39">
        <v>33.111749999999958</v>
      </c>
      <c r="G20" s="39">
        <v>38.131256792207687</v>
      </c>
    </row>
    <row r="21" spans="1:7" ht="11.25" customHeight="1" x14ac:dyDescent="0.2">
      <c r="A21" s="41" t="s">
        <v>524</v>
      </c>
      <c r="B21" s="39">
        <v>0</v>
      </c>
      <c r="C21" s="39">
        <v>1553.5465000000002</v>
      </c>
      <c r="D21" s="39">
        <v>0</v>
      </c>
      <c r="E21" s="39">
        <v>1677.658040410794</v>
      </c>
      <c r="F21" s="39">
        <v>1553.5465000000002</v>
      </c>
      <c r="G21" s="39">
        <v>1677.658040410794</v>
      </c>
    </row>
    <row r="22" spans="1:7" ht="11.25" customHeight="1" x14ac:dyDescent="0.2">
      <c r="A22" s="42" t="s">
        <v>22</v>
      </c>
      <c r="B22" s="39">
        <v>0</v>
      </c>
      <c r="C22" s="39">
        <v>1553.5465000000002</v>
      </c>
      <c r="D22" s="39">
        <v>0</v>
      </c>
      <c r="E22" s="39">
        <v>1677.658040410794</v>
      </c>
      <c r="F22" s="39">
        <v>1553.5465000000002</v>
      </c>
      <c r="G22" s="39">
        <v>1677.658040410794</v>
      </c>
    </row>
    <row r="23" spans="1:7" ht="11.25" customHeight="1" x14ac:dyDescent="0.2">
      <c r="A23" s="43" t="s">
        <v>23</v>
      </c>
      <c r="B23" s="39">
        <v>0</v>
      </c>
      <c r="C23" s="39">
        <v>1553.5465000000002</v>
      </c>
      <c r="D23" s="39">
        <v>0</v>
      </c>
      <c r="E23" s="39">
        <v>1677.658040410794</v>
      </c>
      <c r="F23" s="39">
        <v>1553.5465000000002</v>
      </c>
      <c r="G23" s="39">
        <v>1677.658040410794</v>
      </c>
    </row>
    <row r="24" spans="1:7" ht="11.25" customHeight="1" x14ac:dyDescent="0.2">
      <c r="A24" s="44" t="s">
        <v>24</v>
      </c>
      <c r="B24" s="39">
        <v>0</v>
      </c>
      <c r="C24" s="39">
        <v>1553.5465000000002</v>
      </c>
      <c r="D24" s="39">
        <v>0</v>
      </c>
      <c r="E24" s="39">
        <v>1677.658040410794</v>
      </c>
      <c r="F24" s="39">
        <v>1553.5465000000002</v>
      </c>
      <c r="G24" s="39">
        <v>1677.658040410794</v>
      </c>
    </row>
    <row r="25" spans="1:7" ht="11.25" customHeight="1" x14ac:dyDescent="0.2">
      <c r="A25" s="45" t="s">
        <v>27</v>
      </c>
      <c r="B25" s="39">
        <v>0</v>
      </c>
      <c r="C25" s="39">
        <v>780.03789999999992</v>
      </c>
      <c r="D25" s="39">
        <v>0</v>
      </c>
      <c r="E25" s="39">
        <v>842.3762078719767</v>
      </c>
      <c r="F25" s="39">
        <v>780.03789999999992</v>
      </c>
      <c r="G25" s="39">
        <v>842.3762078719767</v>
      </c>
    </row>
    <row r="26" spans="1:7" ht="11.25" customHeight="1" x14ac:dyDescent="0.2">
      <c r="A26" s="46" t="s">
        <v>25</v>
      </c>
      <c r="B26" s="39">
        <v>0</v>
      </c>
      <c r="C26" s="39">
        <v>780.03789999999992</v>
      </c>
      <c r="D26" s="39">
        <v>0</v>
      </c>
      <c r="E26" s="39">
        <v>842.3762078719767</v>
      </c>
      <c r="F26" s="39">
        <v>780.03789999999992</v>
      </c>
      <c r="G26" s="39">
        <v>842.3762078719767</v>
      </c>
    </row>
    <row r="27" spans="1:7" ht="11.25" customHeight="1" x14ac:dyDescent="0.2">
      <c r="A27" s="47" t="s">
        <v>25</v>
      </c>
      <c r="B27" s="39">
        <v>0</v>
      </c>
      <c r="C27" s="39">
        <v>780.03789999999992</v>
      </c>
      <c r="D27" s="39">
        <v>0</v>
      </c>
      <c r="E27" s="39">
        <v>842.3762078719767</v>
      </c>
      <c r="F27" s="39">
        <v>780.03789999999992</v>
      </c>
      <c r="G27" s="39">
        <v>842.3762078719767</v>
      </c>
    </row>
    <row r="28" spans="1:7" ht="11.25" customHeight="1" x14ac:dyDescent="0.2">
      <c r="A28" s="48" t="s">
        <v>25</v>
      </c>
      <c r="B28" s="39">
        <v>0</v>
      </c>
      <c r="C28" s="39">
        <v>780.03789999999992</v>
      </c>
      <c r="D28" s="39">
        <v>0</v>
      </c>
      <c r="E28" s="39">
        <v>842.3762078719767</v>
      </c>
      <c r="F28" s="39">
        <v>780.03789999999992</v>
      </c>
      <c r="G28" s="39">
        <v>842.3762078719767</v>
      </c>
    </row>
    <row r="29" spans="1:7" ht="11.25" customHeight="1" x14ac:dyDescent="0.2">
      <c r="A29" s="49">
        <v>44440</v>
      </c>
      <c r="B29" s="39">
        <v>0</v>
      </c>
      <c r="C29" s="39">
        <v>15.574799999999998</v>
      </c>
      <c r="D29" s="39">
        <v>0</v>
      </c>
      <c r="E29" s="39">
        <v>16.819491671320666</v>
      </c>
      <c r="F29" s="39">
        <v>15.574799999999998</v>
      </c>
      <c r="G29" s="39">
        <v>16.819491671320666</v>
      </c>
    </row>
    <row r="30" spans="1:7" ht="11.25" customHeight="1" x14ac:dyDescent="0.2">
      <c r="A30" s="49">
        <v>44470</v>
      </c>
      <c r="B30" s="39">
        <v>0</v>
      </c>
      <c r="C30" s="39">
        <v>49.06062</v>
      </c>
      <c r="D30" s="39">
        <v>0</v>
      </c>
      <c r="E30" s="39">
        <v>52.981398764660106</v>
      </c>
      <c r="F30" s="39">
        <v>49.06062</v>
      </c>
      <c r="G30" s="39">
        <v>52.981398764660106</v>
      </c>
    </row>
    <row r="31" spans="1:7" ht="11.25" customHeight="1" x14ac:dyDescent="0.2">
      <c r="A31" s="49">
        <v>44501</v>
      </c>
      <c r="B31" s="39">
        <v>0</v>
      </c>
      <c r="C31" s="39">
        <v>50.358519999999999</v>
      </c>
      <c r="D31" s="39">
        <v>0</v>
      </c>
      <c r="E31" s="39">
        <v>54.383023070603492</v>
      </c>
      <c r="F31" s="39">
        <v>50.358519999999999</v>
      </c>
      <c r="G31" s="39">
        <v>54.383023070603492</v>
      </c>
    </row>
    <row r="32" spans="1:7" ht="11.25" customHeight="1" x14ac:dyDescent="0.2">
      <c r="A32" s="49">
        <v>44531</v>
      </c>
      <c r="B32" s="39">
        <v>0</v>
      </c>
      <c r="C32" s="39">
        <v>50.358519999999999</v>
      </c>
      <c r="D32" s="39">
        <v>0</v>
      </c>
      <c r="E32" s="39">
        <v>54.383023070603492</v>
      </c>
      <c r="F32" s="39">
        <v>50.358519999999999</v>
      </c>
      <c r="G32" s="39">
        <v>54.383023070603492</v>
      </c>
    </row>
    <row r="33" spans="1:7" ht="11.25" customHeight="1" x14ac:dyDescent="0.2">
      <c r="A33" s="49">
        <v>44562</v>
      </c>
      <c r="B33" s="39">
        <v>0</v>
      </c>
      <c r="C33" s="39">
        <v>50.877679999999998</v>
      </c>
      <c r="D33" s="39">
        <v>0</v>
      </c>
      <c r="E33" s="39">
        <v>54.943672792980848</v>
      </c>
      <c r="F33" s="39">
        <v>50.877679999999998</v>
      </c>
      <c r="G33" s="39">
        <v>54.943672792980848</v>
      </c>
    </row>
    <row r="34" spans="1:7" ht="11.25" customHeight="1" x14ac:dyDescent="0.2">
      <c r="A34" s="49">
        <v>44593</v>
      </c>
      <c r="B34" s="39">
        <v>0</v>
      </c>
      <c r="C34" s="39">
        <v>87.478459999999998</v>
      </c>
      <c r="D34" s="39">
        <v>0</v>
      </c>
      <c r="E34" s="39">
        <v>94.469478220584421</v>
      </c>
      <c r="F34" s="39">
        <v>87.478459999999998</v>
      </c>
      <c r="G34" s="39">
        <v>94.469478220584421</v>
      </c>
    </row>
    <row r="35" spans="1:7" ht="11.25" customHeight="1" x14ac:dyDescent="0.2">
      <c r="A35" s="49">
        <v>44621</v>
      </c>
      <c r="B35" s="39">
        <v>0</v>
      </c>
      <c r="C35" s="39">
        <v>85.6614</v>
      </c>
      <c r="D35" s="39">
        <v>0</v>
      </c>
      <c r="E35" s="39">
        <v>92.507204192263686</v>
      </c>
      <c r="F35" s="39">
        <v>85.6614</v>
      </c>
      <c r="G35" s="39">
        <v>92.507204192263686</v>
      </c>
    </row>
    <row r="36" spans="1:7" ht="11.25" customHeight="1" x14ac:dyDescent="0.2">
      <c r="A36" s="49">
        <v>44652</v>
      </c>
      <c r="B36" s="39">
        <v>0</v>
      </c>
      <c r="C36" s="39">
        <v>85.6614</v>
      </c>
      <c r="D36" s="39">
        <v>0</v>
      </c>
      <c r="E36" s="39">
        <v>92.507204192263686</v>
      </c>
      <c r="F36" s="39">
        <v>85.6614</v>
      </c>
      <c r="G36" s="39">
        <v>92.507204192263686</v>
      </c>
    </row>
    <row r="37" spans="1:7" ht="11.25" customHeight="1" x14ac:dyDescent="0.2">
      <c r="A37" s="49">
        <v>44682</v>
      </c>
      <c r="B37" s="39">
        <v>0</v>
      </c>
      <c r="C37" s="39">
        <v>85.6614</v>
      </c>
      <c r="D37" s="39">
        <v>0</v>
      </c>
      <c r="E37" s="39">
        <v>92.507204192263686</v>
      </c>
      <c r="F37" s="39">
        <v>85.6614</v>
      </c>
      <c r="G37" s="39">
        <v>92.507204192263686</v>
      </c>
    </row>
    <row r="38" spans="1:7" ht="11.25" customHeight="1" x14ac:dyDescent="0.2">
      <c r="A38" s="49">
        <v>44713</v>
      </c>
      <c r="B38" s="39">
        <v>0</v>
      </c>
      <c r="C38" s="39">
        <v>85.6614</v>
      </c>
      <c r="D38" s="39">
        <v>0</v>
      </c>
      <c r="E38" s="39">
        <v>92.507204192263686</v>
      </c>
      <c r="F38" s="39">
        <v>85.6614</v>
      </c>
      <c r="G38" s="39">
        <v>92.507204192263686</v>
      </c>
    </row>
    <row r="39" spans="1:7" ht="11.25" customHeight="1" x14ac:dyDescent="0.2">
      <c r="A39" s="49">
        <v>44743</v>
      </c>
      <c r="B39" s="39">
        <v>0</v>
      </c>
      <c r="C39" s="39">
        <v>85.6614</v>
      </c>
      <c r="D39" s="39">
        <v>0</v>
      </c>
      <c r="E39" s="39">
        <v>92.507204192263686</v>
      </c>
      <c r="F39" s="39">
        <v>85.6614</v>
      </c>
      <c r="G39" s="39">
        <v>92.507204192263686</v>
      </c>
    </row>
    <row r="40" spans="1:7" ht="11.25" customHeight="1" x14ac:dyDescent="0.2">
      <c r="A40" s="49">
        <v>44774</v>
      </c>
      <c r="B40" s="39">
        <v>0</v>
      </c>
      <c r="C40" s="39">
        <v>48.022299999999994</v>
      </c>
      <c r="D40" s="39">
        <v>0</v>
      </c>
      <c r="E40" s="39">
        <v>51.860099319905395</v>
      </c>
      <c r="F40" s="39">
        <v>48.022299999999994</v>
      </c>
      <c r="G40" s="39">
        <v>51.860099319905395</v>
      </c>
    </row>
    <row r="41" spans="1:7" ht="11.25" customHeight="1" x14ac:dyDescent="0.2">
      <c r="A41" s="45" t="s">
        <v>28</v>
      </c>
      <c r="B41" s="39">
        <v>0</v>
      </c>
      <c r="C41" s="39">
        <v>768.71699999999998</v>
      </c>
      <c r="D41" s="39">
        <v>0</v>
      </c>
      <c r="E41" s="39">
        <v>830.10660433225667</v>
      </c>
      <c r="F41" s="39">
        <v>768.71699999999998</v>
      </c>
      <c r="G41" s="39">
        <v>830.10660433225667</v>
      </c>
    </row>
    <row r="42" spans="1:7" ht="11.25" customHeight="1" x14ac:dyDescent="0.2">
      <c r="A42" s="46" t="s">
        <v>25</v>
      </c>
      <c r="B42" s="39">
        <v>0</v>
      </c>
      <c r="C42" s="39">
        <v>768.71699999999998</v>
      </c>
      <c r="D42" s="39">
        <v>0</v>
      </c>
      <c r="E42" s="39">
        <v>830.10660433225667</v>
      </c>
      <c r="F42" s="39">
        <v>768.71699999999998</v>
      </c>
      <c r="G42" s="39">
        <v>830.10660433225667</v>
      </c>
    </row>
    <row r="43" spans="1:7" ht="11.25" customHeight="1" x14ac:dyDescent="0.2">
      <c r="A43" s="47" t="s">
        <v>25</v>
      </c>
      <c r="B43" s="39">
        <v>0</v>
      </c>
      <c r="C43" s="39">
        <v>768.71699999999998</v>
      </c>
      <c r="D43" s="39">
        <v>0</v>
      </c>
      <c r="E43" s="39">
        <v>830.10660433225667</v>
      </c>
      <c r="F43" s="39">
        <v>768.71699999999998</v>
      </c>
      <c r="G43" s="39">
        <v>830.10660433225667</v>
      </c>
    </row>
    <row r="44" spans="1:7" ht="11.25" customHeight="1" x14ac:dyDescent="0.2">
      <c r="A44" s="48" t="s">
        <v>25</v>
      </c>
      <c r="B44" s="39">
        <v>0</v>
      </c>
      <c r="C44" s="39">
        <v>768.71699999999998</v>
      </c>
      <c r="D44" s="39">
        <v>0</v>
      </c>
      <c r="E44" s="39">
        <v>830.10660433225667</v>
      </c>
      <c r="F44" s="39">
        <v>768.71699999999998</v>
      </c>
      <c r="G44" s="39">
        <v>830.10660433225667</v>
      </c>
    </row>
    <row r="45" spans="1:7" ht="11.25" customHeight="1" x14ac:dyDescent="0.2">
      <c r="A45" s="49">
        <v>44440</v>
      </c>
      <c r="B45" s="39">
        <v>0</v>
      </c>
      <c r="C45" s="39">
        <v>13.738499999999998</v>
      </c>
      <c r="D45" s="39">
        <v>0</v>
      </c>
      <c r="E45" s="39">
        <v>14.835654192139252</v>
      </c>
      <c r="F45" s="39">
        <v>13.738499999999998</v>
      </c>
      <c r="G45" s="39">
        <v>14.835654192139252</v>
      </c>
    </row>
    <row r="46" spans="1:7" ht="11.25" customHeight="1" x14ac:dyDescent="0.2">
      <c r="A46" s="49">
        <v>44470</v>
      </c>
      <c r="B46" s="39">
        <v>0</v>
      </c>
      <c r="C46" s="39">
        <v>71.248500000000007</v>
      </c>
      <c r="D46" s="39">
        <v>0</v>
      </c>
      <c r="E46" s="39">
        <v>76.938392670861703</v>
      </c>
      <c r="F46" s="39">
        <v>71.248500000000007</v>
      </c>
      <c r="G46" s="39">
        <v>76.938392670861703</v>
      </c>
    </row>
    <row r="47" spans="1:7" ht="11.25" customHeight="1" x14ac:dyDescent="0.2">
      <c r="A47" s="49">
        <v>44501</v>
      </c>
      <c r="B47" s="39">
        <v>0</v>
      </c>
      <c r="C47" s="39">
        <v>58.149000000000001</v>
      </c>
      <c r="D47" s="39">
        <v>0</v>
      </c>
      <c r="E47" s="39">
        <v>62.792768906263817</v>
      </c>
      <c r="F47" s="39">
        <v>58.149000000000001</v>
      </c>
      <c r="G47" s="39">
        <v>62.792768906263817</v>
      </c>
    </row>
    <row r="48" spans="1:7" ht="11.25" customHeight="1" x14ac:dyDescent="0.2">
      <c r="A48" s="49">
        <v>44531</v>
      </c>
      <c r="B48" s="39">
        <v>0</v>
      </c>
      <c r="C48" s="39">
        <v>51.759</v>
      </c>
      <c r="D48" s="39">
        <v>0</v>
      </c>
      <c r="E48" s="39">
        <v>55.892464630850213</v>
      </c>
      <c r="F48" s="39">
        <v>51.759</v>
      </c>
      <c r="G48" s="39">
        <v>55.892464630850213</v>
      </c>
    </row>
    <row r="49" spans="1:7" ht="11.25" customHeight="1" x14ac:dyDescent="0.2">
      <c r="A49" s="49">
        <v>44562</v>
      </c>
      <c r="B49" s="39">
        <v>0</v>
      </c>
      <c r="C49" s="39">
        <v>78.596999999999994</v>
      </c>
      <c r="D49" s="39">
        <v>0</v>
      </c>
      <c r="E49" s="39">
        <v>84.873742587587358</v>
      </c>
      <c r="F49" s="39">
        <v>78.596999999999994</v>
      </c>
      <c r="G49" s="39">
        <v>84.873742587587358</v>
      </c>
    </row>
    <row r="50" spans="1:7" ht="11.25" customHeight="1" x14ac:dyDescent="0.2">
      <c r="A50" s="49">
        <v>44593</v>
      </c>
      <c r="B50" s="39">
        <v>0</v>
      </c>
      <c r="C50" s="39">
        <v>90.418499999999995</v>
      </c>
      <c r="D50" s="39">
        <v>0</v>
      </c>
      <c r="E50" s="39">
        <v>97.639305497102512</v>
      </c>
      <c r="F50" s="39">
        <v>90.418499999999995</v>
      </c>
      <c r="G50" s="39">
        <v>97.639305497102512</v>
      </c>
    </row>
    <row r="51" spans="1:7" ht="11.25" customHeight="1" x14ac:dyDescent="0.2">
      <c r="A51" s="49">
        <v>44621</v>
      </c>
      <c r="B51" s="39">
        <v>0</v>
      </c>
      <c r="C51" s="39">
        <v>80.354250000000008</v>
      </c>
      <c r="D51" s="39">
        <v>0</v>
      </c>
      <c r="E51" s="39">
        <v>86.771326263326102</v>
      </c>
      <c r="F51" s="39">
        <v>80.354250000000008</v>
      </c>
      <c r="G51" s="39">
        <v>86.771326263326102</v>
      </c>
    </row>
    <row r="52" spans="1:7" ht="11.25" customHeight="1" x14ac:dyDescent="0.2">
      <c r="A52" s="49">
        <v>44652</v>
      </c>
      <c r="B52" s="39">
        <v>0</v>
      </c>
      <c r="C52" s="39">
        <v>90.418499999999995</v>
      </c>
      <c r="D52" s="39">
        <v>0</v>
      </c>
      <c r="E52" s="39">
        <v>97.639305497102512</v>
      </c>
      <c r="F52" s="39">
        <v>90.418499999999995</v>
      </c>
      <c r="G52" s="39">
        <v>97.639305497102512</v>
      </c>
    </row>
    <row r="53" spans="1:7" ht="11.25" customHeight="1" x14ac:dyDescent="0.2">
      <c r="A53" s="49">
        <v>44682</v>
      </c>
      <c r="B53" s="39">
        <v>0</v>
      </c>
      <c r="C53" s="39">
        <v>62.142749999999999</v>
      </c>
      <c r="D53" s="39">
        <v>0</v>
      </c>
      <c r="E53" s="39">
        <v>67.105459078397317</v>
      </c>
      <c r="F53" s="39">
        <v>62.142749999999999</v>
      </c>
      <c r="G53" s="39">
        <v>67.105459078397317</v>
      </c>
    </row>
    <row r="54" spans="1:7" ht="11.25" customHeight="1" x14ac:dyDescent="0.2">
      <c r="A54" s="49">
        <v>44713</v>
      </c>
      <c r="B54" s="39">
        <v>0</v>
      </c>
      <c r="C54" s="39">
        <v>67.733999999999995</v>
      </c>
      <c r="D54" s="39">
        <v>0</v>
      </c>
      <c r="E54" s="39">
        <v>73.143225319384229</v>
      </c>
      <c r="F54" s="39">
        <v>67.733999999999995</v>
      </c>
      <c r="G54" s="39">
        <v>73.143225319384229</v>
      </c>
    </row>
    <row r="55" spans="1:7" ht="11.25" customHeight="1" x14ac:dyDescent="0.2">
      <c r="A55" s="49">
        <v>44743</v>
      </c>
      <c r="B55" s="39">
        <v>0</v>
      </c>
      <c r="C55" s="39">
        <v>53.196750000000002</v>
      </c>
      <c r="D55" s="39">
        <v>0</v>
      </c>
      <c r="E55" s="39">
        <v>57.445033092818271</v>
      </c>
      <c r="F55" s="39">
        <v>53.196750000000002</v>
      </c>
      <c r="G55" s="39">
        <v>57.445033092818271</v>
      </c>
    </row>
    <row r="56" spans="1:7" ht="11.25" customHeight="1" x14ac:dyDescent="0.2">
      <c r="A56" s="49">
        <v>44774</v>
      </c>
      <c r="B56" s="39">
        <v>0</v>
      </c>
      <c r="C56" s="39">
        <v>50.960250000000002</v>
      </c>
      <c r="D56" s="39">
        <v>0</v>
      </c>
      <c r="E56" s="39">
        <v>55.029926596423508</v>
      </c>
      <c r="F56" s="39">
        <v>50.960250000000002</v>
      </c>
      <c r="G56" s="39">
        <v>55.029926596423508</v>
      </c>
    </row>
    <row r="57" spans="1:7" ht="11.25" customHeight="1" x14ac:dyDescent="0.2">
      <c r="A57" s="45" t="s">
        <v>29</v>
      </c>
      <c r="B57" s="39">
        <v>0</v>
      </c>
      <c r="C57" s="39">
        <v>4.7916000000000007</v>
      </c>
      <c r="D57" s="39">
        <v>0</v>
      </c>
      <c r="E57" s="39">
        <v>5.1752282065602033</v>
      </c>
      <c r="F57" s="39">
        <v>4.7916000000000007</v>
      </c>
      <c r="G57" s="39">
        <v>5.1752282065602033</v>
      </c>
    </row>
    <row r="58" spans="1:7" ht="11.25" customHeight="1" x14ac:dyDescent="0.2">
      <c r="A58" s="46" t="s">
        <v>25</v>
      </c>
      <c r="B58" s="39">
        <v>0</v>
      </c>
      <c r="C58" s="39">
        <v>4.7916000000000007</v>
      </c>
      <c r="D58" s="39">
        <v>0</v>
      </c>
      <c r="E58" s="39">
        <v>5.1752282065602033</v>
      </c>
      <c r="F58" s="39">
        <v>4.7916000000000007</v>
      </c>
      <c r="G58" s="39">
        <v>5.1752282065602033</v>
      </c>
    </row>
    <row r="59" spans="1:7" ht="11.25" customHeight="1" x14ac:dyDescent="0.2">
      <c r="A59" s="47" t="s">
        <v>25</v>
      </c>
      <c r="B59" s="39">
        <v>0</v>
      </c>
      <c r="C59" s="39">
        <v>4.7916000000000007</v>
      </c>
      <c r="D59" s="39">
        <v>0</v>
      </c>
      <c r="E59" s="39">
        <v>5.1752282065602033</v>
      </c>
      <c r="F59" s="39">
        <v>4.7916000000000007</v>
      </c>
      <c r="G59" s="39">
        <v>5.1752282065602033</v>
      </c>
    </row>
    <row r="60" spans="1:7" ht="11.25" customHeight="1" x14ac:dyDescent="0.2">
      <c r="A60" s="48" t="s">
        <v>25</v>
      </c>
      <c r="B60" s="39">
        <v>0</v>
      </c>
      <c r="C60" s="39">
        <v>4.7916000000000007</v>
      </c>
      <c r="D60" s="39">
        <v>0</v>
      </c>
      <c r="E60" s="39">
        <v>5.1752282065602033</v>
      </c>
      <c r="F60" s="39">
        <v>4.7916000000000007</v>
      </c>
      <c r="G60" s="39">
        <v>5.1752282065602033</v>
      </c>
    </row>
    <row r="61" spans="1:7" ht="11.25" customHeight="1" x14ac:dyDescent="0.2">
      <c r="A61" s="49">
        <v>44440</v>
      </c>
      <c r="B61" s="39">
        <v>0</v>
      </c>
      <c r="C61" s="39">
        <v>4.7916000000000007</v>
      </c>
      <c r="D61" s="39">
        <v>0</v>
      </c>
      <c r="E61" s="39">
        <v>5.1752282065602033</v>
      </c>
      <c r="F61" s="39">
        <v>4.7916000000000007</v>
      </c>
      <c r="G61" s="39">
        <v>5.1752282065602033</v>
      </c>
    </row>
    <row r="62" spans="1:7" ht="11.25" customHeight="1" x14ac:dyDescent="0.2">
      <c r="A62" s="45" t="s">
        <v>30</v>
      </c>
      <c r="B62" s="39">
        <v>0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</row>
    <row r="63" spans="1:7" ht="11.25" customHeight="1" x14ac:dyDescent="0.2">
      <c r="A63" s="46" t="s">
        <v>25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</row>
    <row r="64" spans="1:7" ht="11.25" customHeight="1" x14ac:dyDescent="0.2">
      <c r="A64" s="47" t="s">
        <v>25</v>
      </c>
      <c r="B64" s="39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</row>
    <row r="65" spans="1:7" ht="11.25" customHeight="1" x14ac:dyDescent="0.2">
      <c r="A65" s="48" t="s">
        <v>25</v>
      </c>
      <c r="B65" s="39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</row>
    <row r="66" spans="1:7" ht="11.25" customHeight="1" x14ac:dyDescent="0.2">
      <c r="A66" s="49">
        <v>44440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</row>
    <row r="67" spans="1:7" ht="11.25" customHeight="1" x14ac:dyDescent="0.2">
      <c r="A67" s="41" t="s">
        <v>525</v>
      </c>
      <c r="B67" s="39">
        <v>0</v>
      </c>
      <c r="C67" s="39">
        <v>37206.477000000006</v>
      </c>
      <c r="D67" s="39">
        <v>0</v>
      </c>
      <c r="E67" s="39">
        <v>21423.357702633843</v>
      </c>
      <c r="F67" s="39">
        <v>37206.477000000006</v>
      </c>
      <c r="G67" s="39">
        <v>21423.357702633843</v>
      </c>
    </row>
    <row r="68" spans="1:7" ht="11.25" customHeight="1" x14ac:dyDescent="0.2">
      <c r="A68" s="42" t="s">
        <v>39</v>
      </c>
      <c r="B68" s="39">
        <v>0</v>
      </c>
      <c r="C68" s="39">
        <v>37206.477000000006</v>
      </c>
      <c r="D68" s="39">
        <v>0</v>
      </c>
      <c r="E68" s="39">
        <v>21423.357702633843</v>
      </c>
      <c r="F68" s="39">
        <v>37206.477000000006</v>
      </c>
      <c r="G68" s="39">
        <v>21423.357702633843</v>
      </c>
    </row>
    <row r="69" spans="1:7" ht="11.25" customHeight="1" x14ac:dyDescent="0.2">
      <c r="A69" s="43" t="s">
        <v>23</v>
      </c>
      <c r="B69" s="39">
        <v>0</v>
      </c>
      <c r="C69" s="39">
        <v>37206.477000000006</v>
      </c>
      <c r="D69" s="39">
        <v>0</v>
      </c>
      <c r="E69" s="39">
        <v>21423.357702633843</v>
      </c>
      <c r="F69" s="39">
        <v>37206.477000000006</v>
      </c>
      <c r="G69" s="39">
        <v>21423.357702633843</v>
      </c>
    </row>
    <row r="70" spans="1:7" ht="11.25" customHeight="1" x14ac:dyDescent="0.2">
      <c r="A70" s="44" t="s">
        <v>40</v>
      </c>
      <c r="B70" s="39">
        <v>0</v>
      </c>
      <c r="C70" s="39">
        <v>37206.477000000006</v>
      </c>
      <c r="D70" s="39">
        <v>0</v>
      </c>
      <c r="E70" s="39">
        <v>21423.357702633843</v>
      </c>
      <c r="F70" s="39">
        <v>37206.477000000006</v>
      </c>
      <c r="G70" s="39">
        <v>21423.357702633843</v>
      </c>
    </row>
    <row r="71" spans="1:7" ht="11.25" customHeight="1" x14ac:dyDescent="0.2">
      <c r="A71" s="45" t="s">
        <v>25</v>
      </c>
      <c r="B71" s="39">
        <v>0</v>
      </c>
      <c r="C71" s="39">
        <v>37206.477000000006</v>
      </c>
      <c r="D71" s="39">
        <v>0</v>
      </c>
      <c r="E71" s="39">
        <v>21423.357702633843</v>
      </c>
      <c r="F71" s="39">
        <v>37206.477000000006</v>
      </c>
      <c r="G71" s="39">
        <v>21423.357702633843</v>
      </c>
    </row>
    <row r="72" spans="1:7" ht="11.25" customHeight="1" x14ac:dyDescent="0.2">
      <c r="A72" s="46" t="s">
        <v>25</v>
      </c>
      <c r="B72" s="39">
        <v>0</v>
      </c>
      <c r="C72" s="39">
        <v>37206.477000000006</v>
      </c>
      <c r="D72" s="39">
        <v>0</v>
      </c>
      <c r="E72" s="39">
        <v>21423.357702633843</v>
      </c>
      <c r="F72" s="39">
        <v>37206.477000000006</v>
      </c>
      <c r="G72" s="39">
        <v>21423.357702633843</v>
      </c>
    </row>
    <row r="73" spans="1:7" ht="11.25" customHeight="1" x14ac:dyDescent="0.2">
      <c r="A73" s="47" t="s">
        <v>25</v>
      </c>
      <c r="B73" s="39">
        <v>0</v>
      </c>
      <c r="C73" s="39">
        <v>37206.477000000006</v>
      </c>
      <c r="D73" s="39">
        <v>0</v>
      </c>
      <c r="E73" s="39">
        <v>21423.357702633843</v>
      </c>
      <c r="F73" s="39">
        <v>37206.477000000006</v>
      </c>
      <c r="G73" s="39">
        <v>21423.357702633843</v>
      </c>
    </row>
    <row r="74" spans="1:7" ht="11.25" customHeight="1" x14ac:dyDescent="0.2">
      <c r="A74" s="48" t="s">
        <v>25</v>
      </c>
      <c r="B74" s="39">
        <v>0</v>
      </c>
      <c r="C74" s="39">
        <v>37206.477000000006</v>
      </c>
      <c r="D74" s="39">
        <v>0</v>
      </c>
      <c r="E74" s="39">
        <v>21423.357702633843</v>
      </c>
      <c r="F74" s="39">
        <v>37206.477000000006</v>
      </c>
      <c r="G74" s="39">
        <v>21423.357702633843</v>
      </c>
    </row>
    <row r="75" spans="1:7" ht="11.25" customHeight="1" x14ac:dyDescent="0.2">
      <c r="A75" s="49">
        <v>44440</v>
      </c>
      <c r="B75" s="39">
        <v>0</v>
      </c>
      <c r="C75" s="39">
        <v>3013.3918500000004</v>
      </c>
      <c r="D75" s="39">
        <v>0</v>
      </c>
      <c r="E75" s="39">
        <v>1735.1003563371924</v>
      </c>
      <c r="F75" s="39">
        <v>3013.3918500000004</v>
      </c>
      <c r="G75" s="39">
        <v>1735.1003563371924</v>
      </c>
    </row>
    <row r="76" spans="1:7" ht="11.25" customHeight="1" x14ac:dyDescent="0.2">
      <c r="A76" s="49">
        <v>44470</v>
      </c>
      <c r="B76" s="39">
        <v>0</v>
      </c>
      <c r="C76" s="39">
        <v>2997.1420500000004</v>
      </c>
      <c r="D76" s="39">
        <v>0</v>
      </c>
      <c r="E76" s="39">
        <v>1725.743779040281</v>
      </c>
      <c r="F76" s="39">
        <v>2997.1420500000004</v>
      </c>
      <c r="G76" s="39">
        <v>1725.743779040281</v>
      </c>
    </row>
    <row r="77" spans="1:7" ht="11.25" customHeight="1" x14ac:dyDescent="0.2">
      <c r="A77" s="49">
        <v>44501</v>
      </c>
      <c r="B77" s="39">
        <v>0</v>
      </c>
      <c r="C77" s="39">
        <v>3008.1051000000002</v>
      </c>
      <c r="D77" s="39">
        <v>0</v>
      </c>
      <c r="E77" s="39">
        <v>1732.0562644084027</v>
      </c>
      <c r="F77" s="39">
        <v>3008.1051000000002</v>
      </c>
      <c r="G77" s="39">
        <v>1732.0562644084027</v>
      </c>
    </row>
    <row r="78" spans="1:7" ht="11.25" customHeight="1" x14ac:dyDescent="0.2">
      <c r="A78" s="49">
        <v>44531</v>
      </c>
      <c r="B78" s="39">
        <v>0</v>
      </c>
      <c r="C78" s="39">
        <v>3083.0656500000005</v>
      </c>
      <c r="D78" s="39">
        <v>0</v>
      </c>
      <c r="E78" s="39">
        <v>1775.2182836513473</v>
      </c>
      <c r="F78" s="39">
        <v>3083.0656500000005</v>
      </c>
      <c r="G78" s="39">
        <v>1775.2182836513473</v>
      </c>
    </row>
    <row r="79" spans="1:7" ht="11.25" customHeight="1" x14ac:dyDescent="0.2">
      <c r="A79" s="49">
        <v>44562</v>
      </c>
      <c r="B79" s="39">
        <v>0</v>
      </c>
      <c r="C79" s="39">
        <v>3446.4601500000003</v>
      </c>
      <c r="D79" s="39">
        <v>0</v>
      </c>
      <c r="E79" s="39">
        <v>1984.4595499144705</v>
      </c>
      <c r="F79" s="39">
        <v>3446.4601500000003</v>
      </c>
      <c r="G79" s="39">
        <v>1984.4595499144705</v>
      </c>
    </row>
    <row r="80" spans="1:7" ht="11.25" customHeight="1" x14ac:dyDescent="0.2">
      <c r="A80" s="49">
        <v>44593</v>
      </c>
      <c r="B80" s="39">
        <v>0</v>
      </c>
      <c r="C80" s="39">
        <v>3425.3688000000002</v>
      </c>
      <c r="D80" s="39">
        <v>0</v>
      </c>
      <c r="E80" s="39">
        <v>1972.3152252722464</v>
      </c>
      <c r="F80" s="39">
        <v>3425.3688000000002</v>
      </c>
      <c r="G80" s="39">
        <v>1972.3152252722464</v>
      </c>
    </row>
    <row r="81" spans="1:7" ht="11.25" customHeight="1" x14ac:dyDescent="0.2">
      <c r="A81" s="49">
        <v>44621</v>
      </c>
      <c r="B81" s="39">
        <v>0</v>
      </c>
      <c r="C81" s="39">
        <v>3124.4136000000003</v>
      </c>
      <c r="D81" s="39">
        <v>0</v>
      </c>
      <c r="E81" s="39">
        <v>1799.026286841776</v>
      </c>
      <c r="F81" s="39">
        <v>3124.4136000000003</v>
      </c>
      <c r="G81" s="39">
        <v>1799.026286841776</v>
      </c>
    </row>
    <row r="82" spans="1:7" ht="11.25" customHeight="1" x14ac:dyDescent="0.2">
      <c r="A82" s="49">
        <v>44652</v>
      </c>
      <c r="B82" s="39">
        <v>0</v>
      </c>
      <c r="C82" s="39">
        <v>3267.8236500000003</v>
      </c>
      <c r="D82" s="39">
        <v>0</v>
      </c>
      <c r="E82" s="39">
        <v>1881.6012857943133</v>
      </c>
      <c r="F82" s="39">
        <v>3267.8236500000003</v>
      </c>
      <c r="G82" s="39">
        <v>1881.6012857943133</v>
      </c>
    </row>
    <row r="83" spans="1:7" ht="11.25" customHeight="1" x14ac:dyDescent="0.2">
      <c r="A83" s="49">
        <v>44682</v>
      </c>
      <c r="B83" s="39">
        <v>0</v>
      </c>
      <c r="C83" s="39">
        <v>2889.6819000000005</v>
      </c>
      <c r="D83" s="39">
        <v>0</v>
      </c>
      <c r="E83" s="39">
        <v>1663.8686052035134</v>
      </c>
      <c r="F83" s="39">
        <v>2889.6819000000005</v>
      </c>
      <c r="G83" s="39">
        <v>1663.8686052035134</v>
      </c>
    </row>
    <row r="84" spans="1:7" ht="11.25" customHeight="1" x14ac:dyDescent="0.2">
      <c r="A84" s="49">
        <v>44713</v>
      </c>
      <c r="B84" s="39">
        <v>0</v>
      </c>
      <c r="C84" s="39">
        <v>3046.0584000000003</v>
      </c>
      <c r="D84" s="39">
        <v>0</v>
      </c>
      <c r="E84" s="39">
        <v>1753.9096401498191</v>
      </c>
      <c r="F84" s="39">
        <v>3046.0584000000003</v>
      </c>
      <c r="G84" s="39">
        <v>1753.9096401498191</v>
      </c>
    </row>
    <row r="85" spans="1:7" ht="11.25" customHeight="1" x14ac:dyDescent="0.2">
      <c r="A85" s="49">
        <v>44743</v>
      </c>
      <c r="B85" s="39">
        <v>0</v>
      </c>
      <c r="C85" s="39">
        <v>2986.0120500000003</v>
      </c>
      <c r="D85" s="39">
        <v>0</v>
      </c>
      <c r="E85" s="39">
        <v>1719.335164453355</v>
      </c>
      <c r="F85" s="39">
        <v>2986.0120500000003</v>
      </c>
      <c r="G85" s="39">
        <v>1719.335164453355</v>
      </c>
    </row>
    <row r="86" spans="1:7" ht="11.25" customHeight="1" x14ac:dyDescent="0.2">
      <c r="A86" s="49">
        <v>44774</v>
      </c>
      <c r="B86" s="39">
        <v>0</v>
      </c>
      <c r="C86" s="39">
        <v>2918.9538000000002</v>
      </c>
      <c r="D86" s="39">
        <v>0</v>
      </c>
      <c r="E86" s="39">
        <v>1680.723261567128</v>
      </c>
      <c r="F86" s="39">
        <v>2918.9538000000002</v>
      </c>
      <c r="G86" s="39">
        <v>1680.723261567128</v>
      </c>
    </row>
    <row r="87" spans="1:7" ht="11.25" customHeight="1" x14ac:dyDescent="0.2">
      <c r="A87" s="41" t="s">
        <v>534</v>
      </c>
      <c r="B87" s="39">
        <v>0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</row>
    <row r="88" spans="1:7" ht="11.25" customHeight="1" x14ac:dyDescent="0.2">
      <c r="A88" s="42" t="s">
        <v>22</v>
      </c>
      <c r="B88" s="39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</row>
    <row r="89" spans="1:7" ht="11.25" customHeight="1" x14ac:dyDescent="0.2">
      <c r="A89" s="43" t="s">
        <v>23</v>
      </c>
      <c r="B89" s="39">
        <v>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</row>
    <row r="90" spans="1:7" ht="11.25" customHeight="1" x14ac:dyDescent="0.2">
      <c r="A90" s="44" t="s">
        <v>24</v>
      </c>
      <c r="B90" s="39">
        <v>0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</row>
    <row r="91" spans="1:7" ht="11.25" customHeight="1" x14ac:dyDescent="0.2">
      <c r="A91" s="45" t="s">
        <v>24</v>
      </c>
      <c r="B91" s="39">
        <v>0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</row>
    <row r="92" spans="1:7" ht="11.25" customHeight="1" x14ac:dyDescent="0.2">
      <c r="A92" s="46" t="s">
        <v>25</v>
      </c>
      <c r="B92" s="39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</row>
    <row r="93" spans="1:7" ht="11.25" customHeight="1" x14ac:dyDescent="0.2">
      <c r="A93" s="47" t="s">
        <v>25</v>
      </c>
      <c r="B93" s="39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</row>
    <row r="94" spans="1:7" ht="11.25" customHeight="1" x14ac:dyDescent="0.2">
      <c r="A94" s="48" t="s">
        <v>25</v>
      </c>
      <c r="B94" s="39">
        <v>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</row>
    <row r="95" spans="1:7" ht="11.25" customHeight="1" x14ac:dyDescent="0.2">
      <c r="A95" s="49">
        <v>44440</v>
      </c>
      <c r="B95" s="39">
        <v>0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BBDB-0B10-4E59-B82D-DD63642CF3BD}">
  <dimension ref="A1:H17"/>
  <sheetViews>
    <sheetView showGridLines="0" workbookViewId="0">
      <selection activeCell="H1" sqref="H1"/>
    </sheetView>
  </sheetViews>
  <sheetFormatPr defaultRowHeight="11.25" customHeight="1" x14ac:dyDescent="0.25"/>
  <cols>
    <col min="1" max="1" width="12.140625" style="8" bestFit="1" customWidth="1"/>
    <col min="2" max="2" width="15.85546875" style="8" bestFit="1" customWidth="1"/>
    <col min="3" max="3" width="4.7109375" style="8" bestFit="1" customWidth="1"/>
    <col min="4" max="4" width="6.42578125" style="8" bestFit="1" customWidth="1"/>
    <col min="5" max="5" width="8.42578125" style="8" bestFit="1" customWidth="1"/>
    <col min="6" max="6" width="9.140625" style="8"/>
    <col min="7" max="7" width="18.5703125" style="8" bestFit="1" customWidth="1"/>
    <col min="8" max="8" width="2" style="8" bestFit="1" customWidth="1"/>
    <col min="9" max="16384" width="9.140625" style="8"/>
  </cols>
  <sheetData>
    <row r="1" spans="1:8" s="7" customFormat="1" ht="11.25" customHeight="1" x14ac:dyDescent="0.25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G1" s="7" t="s">
        <v>52</v>
      </c>
      <c r="H1" s="7">
        <f>COUNTA(A:A)</f>
        <v>17</v>
      </c>
    </row>
    <row r="2" spans="1:8" ht="11.25" customHeight="1" x14ac:dyDescent="0.25">
      <c r="A2" s="8" t="s">
        <v>243</v>
      </c>
      <c r="B2" s="8" t="s">
        <v>244</v>
      </c>
      <c r="C2" s="8" t="s">
        <v>245</v>
      </c>
      <c r="D2" s="8">
        <v>38</v>
      </c>
      <c r="E2" s="8" t="s">
        <v>246</v>
      </c>
    </row>
    <row r="3" spans="1:8" ht="11.25" customHeight="1" x14ac:dyDescent="0.25">
      <c r="A3" s="8" t="s">
        <v>243</v>
      </c>
      <c r="B3" s="8" t="s">
        <v>244</v>
      </c>
      <c r="C3" s="8" t="s">
        <v>245</v>
      </c>
      <c r="D3" s="8">
        <v>39</v>
      </c>
      <c r="E3" s="8" t="s">
        <v>246</v>
      </c>
    </row>
    <row r="4" spans="1:8" ht="11.25" customHeight="1" x14ac:dyDescent="0.25">
      <c r="A4" s="8" t="s">
        <v>243</v>
      </c>
      <c r="B4" s="8" t="s">
        <v>244</v>
      </c>
      <c r="C4" s="8" t="s">
        <v>245</v>
      </c>
      <c r="D4" s="8">
        <v>40</v>
      </c>
      <c r="E4" s="8" t="s">
        <v>246</v>
      </c>
    </row>
    <row r="5" spans="1:8" ht="11.25" customHeight="1" x14ac:dyDescent="0.25">
      <c r="A5" s="8" t="s">
        <v>243</v>
      </c>
      <c r="B5" s="8" t="s">
        <v>244</v>
      </c>
      <c r="C5" s="8" t="s">
        <v>245</v>
      </c>
      <c r="D5" s="8">
        <v>41</v>
      </c>
      <c r="E5" s="8" t="s">
        <v>246</v>
      </c>
    </row>
    <row r="6" spans="1:8" ht="11.25" customHeight="1" x14ac:dyDescent="0.25">
      <c r="A6" s="8" t="s">
        <v>243</v>
      </c>
      <c r="B6" s="8" t="s">
        <v>244</v>
      </c>
      <c r="C6" s="8" t="s">
        <v>245</v>
      </c>
      <c r="D6" s="8">
        <v>42</v>
      </c>
      <c r="E6" s="8" t="s">
        <v>246</v>
      </c>
    </row>
    <row r="7" spans="1:8" ht="11.25" customHeight="1" x14ac:dyDescent="0.25">
      <c r="A7" s="8" t="s">
        <v>243</v>
      </c>
      <c r="B7" s="8" t="s">
        <v>244</v>
      </c>
      <c r="C7" s="8" t="s">
        <v>245</v>
      </c>
      <c r="D7" s="8">
        <v>43</v>
      </c>
      <c r="E7" s="8" t="s">
        <v>246</v>
      </c>
    </row>
    <row r="8" spans="1:8" ht="11.25" customHeight="1" x14ac:dyDescent="0.25">
      <c r="A8" s="8" t="s">
        <v>243</v>
      </c>
      <c r="B8" s="8" t="s">
        <v>244</v>
      </c>
      <c r="C8" s="8" t="s">
        <v>245</v>
      </c>
      <c r="D8" s="8">
        <v>44</v>
      </c>
      <c r="E8" s="8" t="s">
        <v>246</v>
      </c>
    </row>
    <row r="9" spans="1:8" ht="11.25" customHeight="1" x14ac:dyDescent="0.25">
      <c r="A9" s="8" t="s">
        <v>243</v>
      </c>
      <c r="B9" s="8" t="s">
        <v>244</v>
      </c>
      <c r="C9" s="8" t="s">
        <v>245</v>
      </c>
      <c r="D9" s="8">
        <v>45</v>
      </c>
      <c r="E9" s="8" t="s">
        <v>246</v>
      </c>
    </row>
    <row r="10" spans="1:8" ht="11.25" customHeight="1" x14ac:dyDescent="0.25">
      <c r="A10" s="8" t="s">
        <v>243</v>
      </c>
      <c r="B10" s="8" t="s">
        <v>244</v>
      </c>
      <c r="C10" s="8" t="s">
        <v>245</v>
      </c>
      <c r="D10" s="8">
        <v>46</v>
      </c>
      <c r="E10" s="8" t="s">
        <v>246</v>
      </c>
    </row>
    <row r="11" spans="1:8" ht="11.25" customHeight="1" x14ac:dyDescent="0.25">
      <c r="A11" s="8" t="s">
        <v>243</v>
      </c>
      <c r="B11" s="8" t="s">
        <v>244</v>
      </c>
      <c r="C11" s="8" t="s">
        <v>245</v>
      </c>
      <c r="D11" s="8">
        <v>47</v>
      </c>
      <c r="E11" s="8" t="s">
        <v>246</v>
      </c>
    </row>
    <row r="12" spans="1:8" ht="11.25" customHeight="1" x14ac:dyDescent="0.25">
      <c r="A12" s="8" t="s">
        <v>243</v>
      </c>
      <c r="B12" s="8" t="s">
        <v>244</v>
      </c>
      <c r="C12" s="8" t="s">
        <v>245</v>
      </c>
      <c r="D12" s="8">
        <v>48</v>
      </c>
      <c r="E12" s="8" t="s">
        <v>246</v>
      </c>
    </row>
    <row r="13" spans="1:8" ht="11.25" customHeight="1" x14ac:dyDescent="0.25">
      <c r="A13" s="8" t="s">
        <v>243</v>
      </c>
      <c r="B13" s="8" t="s">
        <v>244</v>
      </c>
      <c r="C13" s="8" t="s">
        <v>245</v>
      </c>
      <c r="D13" s="8">
        <v>49</v>
      </c>
      <c r="E13" s="8" t="s">
        <v>246</v>
      </c>
    </row>
    <row r="14" spans="1:8" ht="11.25" customHeight="1" x14ac:dyDescent="0.25">
      <c r="A14" s="8" t="s">
        <v>243</v>
      </c>
      <c r="C14" s="8" t="s">
        <v>410</v>
      </c>
      <c r="D14" s="8">
        <v>40</v>
      </c>
      <c r="E14" s="8" t="s">
        <v>9</v>
      </c>
    </row>
    <row r="15" spans="1:8" ht="11.25" customHeight="1" x14ac:dyDescent="0.25">
      <c r="A15" s="8" t="s">
        <v>243</v>
      </c>
      <c r="C15" s="8" t="s">
        <v>410</v>
      </c>
      <c r="D15" s="8">
        <v>40</v>
      </c>
      <c r="E15" s="8" t="s">
        <v>9</v>
      </c>
    </row>
    <row r="16" spans="1:8" ht="11.25" customHeight="1" x14ac:dyDescent="0.25">
      <c r="A16" s="8" t="s">
        <v>243</v>
      </c>
      <c r="C16" s="8" t="s">
        <v>410</v>
      </c>
      <c r="D16" s="8">
        <v>40</v>
      </c>
      <c r="E16" s="8" t="s">
        <v>9</v>
      </c>
    </row>
    <row r="17" spans="1:5" ht="11.25" customHeight="1" x14ac:dyDescent="0.25">
      <c r="A17" s="8" t="s">
        <v>243</v>
      </c>
      <c r="C17" s="8" t="s">
        <v>410</v>
      </c>
      <c r="D17" s="8">
        <v>40</v>
      </c>
      <c r="E17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37D6-5253-4130-8BF4-8ADE8353892A}">
  <dimension ref="A1:V35"/>
  <sheetViews>
    <sheetView showGridLines="0" workbookViewId="0">
      <selection sqref="A1:J1"/>
    </sheetView>
  </sheetViews>
  <sheetFormatPr defaultRowHeight="11.25" customHeight="1" x14ac:dyDescent="0.25"/>
  <cols>
    <col min="1" max="1" width="9.28515625" style="8" bestFit="1" customWidth="1"/>
    <col min="2" max="2" width="11.140625" style="8" bestFit="1" customWidth="1"/>
    <col min="3" max="3" width="10.28515625" style="8" bestFit="1" customWidth="1"/>
    <col min="4" max="4" width="6.28515625" style="8" bestFit="1" customWidth="1"/>
    <col min="5" max="10" width="7.7109375" style="8" customWidth="1"/>
    <col min="11" max="12" width="9.140625" style="8"/>
    <col min="13" max="13" width="14.28515625" style="8" customWidth="1"/>
    <col min="14" max="14" width="16.7109375" style="8" customWidth="1"/>
    <col min="15" max="15" width="31.7109375" style="8" customWidth="1"/>
    <col min="16" max="22" width="7.7109375" style="8" customWidth="1"/>
    <col min="23" max="16384" width="9.140625" style="8"/>
  </cols>
  <sheetData>
    <row r="1" spans="1:22" ht="11.25" customHeight="1" x14ac:dyDescent="0.25">
      <c r="A1" s="98" t="s">
        <v>600</v>
      </c>
      <c r="B1" s="118"/>
      <c r="C1" s="118"/>
      <c r="D1" s="118"/>
      <c r="E1" s="118"/>
      <c r="F1" s="118"/>
      <c r="G1" s="118"/>
      <c r="H1" s="118"/>
      <c r="I1" s="118"/>
      <c r="J1" s="118"/>
      <c r="L1" s="98" t="s">
        <v>610</v>
      </c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1.25" customHeight="1" x14ac:dyDescent="0.25">
      <c r="A2" s="113" t="s">
        <v>53</v>
      </c>
      <c r="B2" s="113" t="s">
        <v>54</v>
      </c>
      <c r="C2" s="113" t="s">
        <v>601</v>
      </c>
      <c r="D2" s="113" t="s">
        <v>59</v>
      </c>
      <c r="E2" s="113" t="s">
        <v>602</v>
      </c>
      <c r="F2" s="117"/>
      <c r="G2" s="117"/>
      <c r="H2" s="113" t="s">
        <v>364</v>
      </c>
      <c r="I2" s="117"/>
      <c r="J2" s="117"/>
      <c r="L2" s="113" t="s">
        <v>53</v>
      </c>
      <c r="M2" s="113" t="s">
        <v>54</v>
      </c>
      <c r="N2" s="113" t="s">
        <v>55</v>
      </c>
      <c r="O2" s="113" t="s">
        <v>56</v>
      </c>
      <c r="P2" s="113" t="s">
        <v>59</v>
      </c>
      <c r="Q2" s="113" t="s">
        <v>602</v>
      </c>
      <c r="R2" s="119"/>
      <c r="S2" s="119"/>
      <c r="T2" s="113" t="s">
        <v>364</v>
      </c>
      <c r="U2" s="119"/>
      <c r="V2" s="119"/>
    </row>
    <row r="3" spans="1:22" ht="11.25" customHeight="1" x14ac:dyDescent="0.25">
      <c r="A3" s="117"/>
      <c r="B3" s="117"/>
      <c r="C3" s="117"/>
      <c r="D3" s="117"/>
      <c r="E3" s="113" t="s">
        <v>322</v>
      </c>
      <c r="F3" s="117"/>
      <c r="G3" s="76" t="s">
        <v>350</v>
      </c>
      <c r="H3" s="113" t="s">
        <v>322</v>
      </c>
      <c r="I3" s="117"/>
      <c r="J3" s="76" t="s">
        <v>350</v>
      </c>
      <c r="L3" s="119"/>
      <c r="M3" s="119"/>
      <c r="N3" s="119"/>
      <c r="O3" s="119"/>
      <c r="P3" s="119"/>
      <c r="Q3" s="113" t="s">
        <v>322</v>
      </c>
      <c r="R3" s="119"/>
      <c r="S3" s="76" t="s">
        <v>350</v>
      </c>
      <c r="T3" s="113" t="s">
        <v>322</v>
      </c>
      <c r="U3" s="119"/>
      <c r="V3" s="76" t="s">
        <v>350</v>
      </c>
    </row>
    <row r="4" spans="1:22" ht="11.25" customHeight="1" x14ac:dyDescent="0.25">
      <c r="A4" s="117"/>
      <c r="B4" s="117"/>
      <c r="C4" s="117"/>
      <c r="D4" s="117"/>
      <c r="E4" s="76" t="s">
        <v>603</v>
      </c>
      <c r="F4" s="76" t="s">
        <v>604</v>
      </c>
      <c r="G4" s="76" t="s">
        <v>604</v>
      </c>
      <c r="H4" s="76" t="s">
        <v>603</v>
      </c>
      <c r="I4" s="76" t="s">
        <v>604</v>
      </c>
      <c r="J4" s="76" t="s">
        <v>604</v>
      </c>
      <c r="L4" s="119"/>
      <c r="M4" s="119"/>
      <c r="N4" s="119"/>
      <c r="O4" s="119"/>
      <c r="P4" s="119"/>
      <c r="Q4" s="76" t="s">
        <v>603</v>
      </c>
      <c r="R4" s="76" t="s">
        <v>604</v>
      </c>
      <c r="S4" s="76" t="s">
        <v>604</v>
      </c>
      <c r="T4" s="76" t="s">
        <v>603</v>
      </c>
      <c r="U4" s="76" t="s">
        <v>604</v>
      </c>
      <c r="V4" s="76" t="s">
        <v>604</v>
      </c>
    </row>
    <row r="5" spans="1:22" ht="11.25" customHeight="1" x14ac:dyDescent="0.25">
      <c r="A5" s="116" t="s">
        <v>33</v>
      </c>
      <c r="B5" s="116" t="s">
        <v>34</v>
      </c>
      <c r="C5" s="116" t="s">
        <v>25</v>
      </c>
      <c r="D5" s="77" t="s">
        <v>605</v>
      </c>
      <c r="E5" s="29">
        <f ca="1">ROUND('TUSD BE'!$AM$5+'TUSD BF'!$AM$5+'TUSD CVA'!$AM$5,2)</f>
        <v>40.93</v>
      </c>
      <c r="F5" s="29">
        <f ca="1">ROUND('TUSD BE'!$AM$7+'TUSD BF'!$AM$7+'TUSD CVA'!$AM$7,2)</f>
        <v>93.33</v>
      </c>
      <c r="G5" s="29">
        <f>ROUND('TE BE'!$AB$5+'TE BF'!$AB$5+'TE CVA'!$AB$5,2)</f>
        <v>239.91</v>
      </c>
      <c r="H5" s="29">
        <f ca="1">ROUND('TUSD BE'!$AM$5,2)</f>
        <v>41.62</v>
      </c>
      <c r="I5" s="29">
        <f ca="1">ROUND('TUSD BE'!$AM$7,2)</f>
        <v>96.69</v>
      </c>
      <c r="J5" s="29">
        <f>ROUND('TE BE'!$AB$5,2)</f>
        <v>243.99</v>
      </c>
      <c r="L5" s="120" t="s">
        <v>22</v>
      </c>
      <c r="M5" s="120" t="s">
        <v>611</v>
      </c>
      <c r="N5" s="120" t="s">
        <v>612</v>
      </c>
      <c r="O5" s="120" t="s">
        <v>612</v>
      </c>
      <c r="P5" s="77" t="s">
        <v>605</v>
      </c>
      <c r="Q5" s="29">
        <v>0</v>
      </c>
      <c r="R5" s="29">
        <f ca="1">ROUND('TUSD BE'!$AM$17+'TUSD BF'!$AM$17+'TUSD CVA'!$AM$17,2)</f>
        <v>560.83000000000004</v>
      </c>
      <c r="S5" s="29">
        <f>ROUND('TE BE'!$AB$7+'TE BF'!$AB$7+'TE CVA'!$AB$7,2)</f>
        <v>239.91</v>
      </c>
      <c r="T5" s="29">
        <v>0</v>
      </c>
      <c r="U5" s="29">
        <f ca="1">ROUND('TUSD BE'!$AM$17,2)</f>
        <v>573.25</v>
      </c>
      <c r="V5" s="29">
        <f>ROUND('TE BE'!$AB$7,2)</f>
        <v>243.99</v>
      </c>
    </row>
    <row r="6" spans="1:22" ht="11.25" customHeight="1" x14ac:dyDescent="0.25">
      <c r="A6" s="117"/>
      <c r="B6" s="117"/>
      <c r="C6" s="117"/>
      <c r="D6" s="77" t="s">
        <v>606</v>
      </c>
      <c r="E6" s="29">
        <f ca="1">ROUND('TUSD BE'!$AM$6+'TUSD BF'!$AM$6+'TUSD CVA'!$AM$6,2)</f>
        <v>14.79</v>
      </c>
      <c r="F6" s="29">
        <f ca="1">ROUND('TUSD BE'!$AM$7+'TUSD BF'!$AM$7+'TUSD CVA'!$AM$7,2)</f>
        <v>93.33</v>
      </c>
      <c r="G6" s="29">
        <f>ROUND('TE BE'!$AB$6+'TE BF'!$AB$6+'TE CVA'!$AB$6,2)</f>
        <v>239.91</v>
      </c>
      <c r="H6" s="29">
        <f ca="1">ROUND('TUSD BE'!$AM$6,2)</f>
        <v>14.96</v>
      </c>
      <c r="I6" s="29">
        <f ca="1">ROUND('TUSD BE'!$AM$7,2)</f>
        <v>96.69</v>
      </c>
      <c r="J6" s="29">
        <f>ROUND('TE BE'!$AB$6,2)</f>
        <v>243.99</v>
      </c>
      <c r="L6" s="121"/>
      <c r="M6" s="121"/>
      <c r="N6" s="121"/>
      <c r="O6" s="121"/>
      <c r="P6" s="77" t="s">
        <v>613</v>
      </c>
      <c r="Q6" s="29">
        <v>0</v>
      </c>
      <c r="R6" s="29">
        <f ca="1">ROUND('TUSD BE'!$AM$18+'TUSD BF'!$AM$18+'TUSD CVA'!$AM$18,2)</f>
        <v>382.13</v>
      </c>
      <c r="S6" s="29">
        <f>ROUND('TE BE'!$AB$8+'TE BF'!$AB$8+'TE CVA'!$AB$8,2)</f>
        <v>239.91</v>
      </c>
      <c r="T6" s="29">
        <v>0</v>
      </c>
      <c r="U6" s="29">
        <f ca="1">ROUND('TUSD BE'!$AM$18,2)</f>
        <v>391.18</v>
      </c>
      <c r="V6" s="29">
        <f>ROUND('TE BE'!$AB$8,2)</f>
        <v>243.99</v>
      </c>
    </row>
    <row r="7" spans="1:22" ht="11.25" customHeight="1" x14ac:dyDescent="0.25">
      <c r="A7" s="117"/>
      <c r="B7" s="116" t="s">
        <v>607</v>
      </c>
      <c r="C7" s="116" t="s">
        <v>25</v>
      </c>
      <c r="D7" s="77" t="s">
        <v>605</v>
      </c>
      <c r="E7" s="29">
        <f ca="1">ROUND('TUSD BE'!$AM$5+'TUSD BF'!$AM$5+'TUSD CVA'!$AM$5,2)</f>
        <v>40.93</v>
      </c>
      <c r="F7" s="29">
        <f ca="1">ROUND('TUSD BE'!$AM$8+'TUSD BF'!$AM$8+'TUSD CVA'!$AM$8,2)</f>
        <v>6.98</v>
      </c>
      <c r="G7" s="29">
        <v>0</v>
      </c>
      <c r="H7" s="29">
        <f ca="1">ROUND('TUSD BE'!$AM$5,2)</f>
        <v>41.62</v>
      </c>
      <c r="I7" s="29">
        <f ca="1">ROUND('TUSD BE'!$AM$8,2)</f>
        <v>7.1</v>
      </c>
      <c r="J7" s="29">
        <v>0</v>
      </c>
      <c r="L7" s="121"/>
      <c r="M7" s="122"/>
      <c r="N7" s="122"/>
      <c r="O7" s="122"/>
      <c r="P7" s="77" t="s">
        <v>606</v>
      </c>
      <c r="Q7" s="29">
        <v>0</v>
      </c>
      <c r="R7" s="29">
        <f ca="1">ROUND('TUSD BE'!$AM$19+'TUSD BF'!$AM$19+'TUSD CVA'!$AM$19,2)</f>
        <v>203.41</v>
      </c>
      <c r="S7" s="29">
        <f>ROUND('TE BE'!$AB$9+'TE BF'!$AB$9+'TE CVA'!$AB$9,2)</f>
        <v>239.91</v>
      </c>
      <c r="T7" s="29">
        <v>0</v>
      </c>
      <c r="U7" s="29">
        <f ca="1">ROUND('TUSD BE'!$AM$19,2)</f>
        <v>209.1</v>
      </c>
      <c r="V7" s="29">
        <f>ROUND('TE BE'!$AB$9,2)</f>
        <v>243.99</v>
      </c>
    </row>
    <row r="8" spans="1:22" ht="11.25" customHeight="1" x14ac:dyDescent="0.25">
      <c r="A8" s="117"/>
      <c r="B8" s="117"/>
      <c r="C8" s="117"/>
      <c r="D8" s="77" t="s">
        <v>606</v>
      </c>
      <c r="E8" s="29">
        <f ca="1">ROUND('TUSD BE'!$AM$6+'TUSD BF'!$AM$6+'TUSD CVA'!$AM$6,2)</f>
        <v>14.79</v>
      </c>
      <c r="F8" s="29">
        <f ca="1">ROUND('TUSD BE'!$AM$8+'TUSD BF'!$AM$8+'TUSD CVA'!$AM$8,2)</f>
        <v>6.98</v>
      </c>
      <c r="G8" s="29">
        <v>0</v>
      </c>
      <c r="H8" s="29">
        <f ca="1">ROUND('TUSD BE'!$AM$6,2)</f>
        <v>14.96</v>
      </c>
      <c r="I8" s="29">
        <f ca="1">ROUND('TUSD BE'!$AM$8,2)</f>
        <v>7.1</v>
      </c>
      <c r="J8" s="29">
        <v>0</v>
      </c>
      <c r="L8" s="121"/>
      <c r="M8" s="77" t="s">
        <v>614</v>
      </c>
      <c r="N8" s="77" t="s">
        <v>612</v>
      </c>
      <c r="O8" s="77" t="s">
        <v>612</v>
      </c>
      <c r="P8" s="77" t="s">
        <v>608</v>
      </c>
      <c r="Q8" s="29">
        <v>0</v>
      </c>
      <c r="R8" s="29">
        <f ca="1">ROUND('TUSD BE'!$AM$25+'TUSD BF'!$AM$25+'TUSD CVA'!$AM$25,2)</f>
        <v>279.52999999999997</v>
      </c>
      <c r="S8" s="29">
        <f>ROUND('TE BE'!$AB$15+'TE BF'!$AB$15+'TE CVA'!$AB$15,2)</f>
        <v>239.91</v>
      </c>
      <c r="T8" s="29">
        <v>0</v>
      </c>
      <c r="U8" s="29">
        <f ca="1">ROUND('TUSD BE'!$AM$25,2)</f>
        <v>286.64999999999998</v>
      </c>
      <c r="V8" s="29">
        <f>ROUND('TE BE'!$AB$15,2)</f>
        <v>243.99</v>
      </c>
    </row>
    <row r="9" spans="1:22" ht="11.25" customHeight="1" x14ac:dyDescent="0.25">
      <c r="A9" s="117"/>
      <c r="B9" s="116" t="s">
        <v>37</v>
      </c>
      <c r="C9" s="116" t="s">
        <v>25</v>
      </c>
      <c r="D9" s="77" t="s">
        <v>608</v>
      </c>
      <c r="E9" s="29">
        <f ca="1">ROUND('TUSD BE'!$AM$10+'TUSD BF'!$AM$10+'TUSD CVA'!$AM$10,2)</f>
        <v>14.79</v>
      </c>
      <c r="F9" s="29">
        <v>0</v>
      </c>
      <c r="G9" s="29">
        <v>0</v>
      </c>
      <c r="H9" s="29">
        <f ca="1">ROUND('TUSD BE'!$AM$10,2)</f>
        <v>14.96</v>
      </c>
      <c r="I9" s="29">
        <v>0</v>
      </c>
      <c r="J9" s="29">
        <v>0</v>
      </c>
      <c r="L9" s="121"/>
      <c r="M9" s="77" t="s">
        <v>616</v>
      </c>
      <c r="N9" s="77" t="s">
        <v>612</v>
      </c>
      <c r="O9" s="77" t="s">
        <v>612</v>
      </c>
      <c r="P9" s="77" t="s">
        <v>608</v>
      </c>
      <c r="Q9" s="29">
        <v>0</v>
      </c>
      <c r="R9" s="29">
        <f ca="1">ROUND('TUSD BE'!$AM$20+'TUSD BF'!$AM$20+'TUSD CVA'!$AM$20,2)</f>
        <v>279.52999999999997</v>
      </c>
      <c r="S9" s="29">
        <f>ROUND('TE BE'!$AB$10+'TE BF'!$AB$10+'TE CVA'!$AB$10,2)</f>
        <v>239.91</v>
      </c>
      <c r="T9" s="29">
        <v>0</v>
      </c>
      <c r="U9" s="29">
        <f ca="1">ROUND('TUSD BE'!$AM$20,2)</f>
        <v>286.64999999999998</v>
      </c>
      <c r="V9" s="29">
        <f>ROUND('TE BE'!$AB$10,2)</f>
        <v>243.99</v>
      </c>
    </row>
    <row r="10" spans="1:22" ht="11.25" customHeight="1" x14ac:dyDescent="0.25">
      <c r="A10" s="117"/>
      <c r="B10" s="117"/>
      <c r="C10" s="117"/>
      <c r="D10" s="77" t="s">
        <v>605</v>
      </c>
      <c r="E10" s="29">
        <v>0</v>
      </c>
      <c r="F10" s="29">
        <f ca="1">ROUND('TUSD BE'!$AM$11+'TUSD BF'!$AM$11+'TUSD CVA'!$AM$11,2)</f>
        <v>1077.9000000000001</v>
      </c>
      <c r="G10" s="29">
        <f>ROUND('TE BE'!$AB$5+'TE BF'!$AB$5+'TE CVA'!$AB$5,2)</f>
        <v>239.91</v>
      </c>
      <c r="H10" s="29">
        <v>0</v>
      </c>
      <c r="I10" s="29">
        <f ca="1">ROUND('TUSD BE'!$AM$11,2)</f>
        <v>1097.83</v>
      </c>
      <c r="J10" s="29">
        <f>ROUND('TE BE'!$AB$5,2)</f>
        <v>243.99</v>
      </c>
      <c r="L10" s="121"/>
      <c r="M10" s="77" t="s">
        <v>614</v>
      </c>
      <c r="N10" s="77" t="s">
        <v>612</v>
      </c>
      <c r="O10" s="77" t="s">
        <v>615</v>
      </c>
      <c r="P10" s="77" t="s">
        <v>608</v>
      </c>
      <c r="Q10" s="29">
        <v>0</v>
      </c>
      <c r="R10" s="29">
        <f ca="1">ROUND('TUSD BE'!$AM$26+'TUSD BF'!$AM$26+'TUSD CVA'!$AM$26,2)</f>
        <v>179.34</v>
      </c>
      <c r="S10" s="29">
        <f>ROUND('TE BE'!$AB$16+'TE BF'!$AB$16+'TE CVA'!$AB$16,2)</f>
        <v>239.91</v>
      </c>
      <c r="T10" s="29">
        <v>0</v>
      </c>
      <c r="U10" s="29">
        <f ca="1">ROUND('TUSD BE'!$AM$26,2)</f>
        <v>182.71</v>
      </c>
      <c r="V10" s="29">
        <f>ROUND('TE BE'!$AB$16,2)</f>
        <v>243.99</v>
      </c>
    </row>
    <row r="11" spans="1:22" ht="11.25" customHeight="1" x14ac:dyDescent="0.25">
      <c r="A11" s="117"/>
      <c r="B11" s="117"/>
      <c r="C11" s="117"/>
      <c r="D11" s="77" t="s">
        <v>606</v>
      </c>
      <c r="E11" s="29">
        <v>0</v>
      </c>
      <c r="F11" s="29">
        <f ca="1">ROUND('TUSD BE'!$AM$12+'TUSD BF'!$AM$12+'TUSD CVA'!$AM$12,2)</f>
        <v>93.33</v>
      </c>
      <c r="G11" s="29">
        <f>ROUND('TE BE'!$AB$6+'TE BF'!$AB$6+'TE CVA'!$AB$6,2)</f>
        <v>239.91</v>
      </c>
      <c r="H11" s="29">
        <v>0</v>
      </c>
      <c r="I11" s="29">
        <f ca="1">ROUND('TUSD BE'!$AM$12,2)</f>
        <v>96.69</v>
      </c>
      <c r="J11" s="29">
        <f>ROUND('TE BE'!$AB$6,2)</f>
        <v>243.99</v>
      </c>
      <c r="L11" s="122"/>
      <c r="M11" s="77" t="s">
        <v>616</v>
      </c>
      <c r="N11" s="77" t="s">
        <v>612</v>
      </c>
      <c r="O11" s="77" t="s">
        <v>615</v>
      </c>
      <c r="P11" s="77" t="s">
        <v>608</v>
      </c>
      <c r="Q11" s="29">
        <v>0</v>
      </c>
      <c r="R11" s="29">
        <f ca="1">ROUND('TUSD BE'!$AM$21+'TUSD BF'!$AM$21+'TUSD CVA'!$AM$21,2)</f>
        <v>179.34</v>
      </c>
      <c r="S11" s="29">
        <f>ROUND('TE BE'!$AB$11+'TE BF'!$AB$11+'TE CVA'!$AB$11,2)</f>
        <v>239.91</v>
      </c>
      <c r="T11" s="29">
        <v>0</v>
      </c>
      <c r="U11" s="29">
        <f ca="1">ROUND('TUSD BE'!$AM$21,2)</f>
        <v>182.71</v>
      </c>
      <c r="V11" s="29">
        <f>ROUND('TE BE'!$AB$11,2)</f>
        <v>243.99</v>
      </c>
    </row>
    <row r="12" spans="1:22" ht="11.25" customHeight="1" x14ac:dyDescent="0.25">
      <c r="A12" s="117"/>
      <c r="B12" s="116" t="s">
        <v>609</v>
      </c>
      <c r="C12" s="116" t="s">
        <v>25</v>
      </c>
      <c r="D12" s="77" t="s">
        <v>608</v>
      </c>
      <c r="E12" s="29">
        <f ca="1">ROUND('TUSD BE'!$AM$10+'TUSD BF'!$AM$10+'TUSD CVA'!$AM$10,2)</f>
        <v>14.79</v>
      </c>
      <c r="F12" s="29">
        <v>0</v>
      </c>
      <c r="G12" s="29">
        <v>0</v>
      </c>
      <c r="H12" s="29">
        <f ca="1">ROUND('TUSD BE'!$AM$10,2)</f>
        <v>14.96</v>
      </c>
      <c r="I12" s="29">
        <v>0</v>
      </c>
      <c r="J12" s="29">
        <v>0</v>
      </c>
      <c r="L12" s="120" t="s">
        <v>39</v>
      </c>
      <c r="M12" s="120" t="s">
        <v>611</v>
      </c>
      <c r="N12" s="120" t="s">
        <v>617</v>
      </c>
      <c r="O12" s="120" t="s">
        <v>618</v>
      </c>
      <c r="P12" s="77" t="s">
        <v>605</v>
      </c>
      <c r="Q12" s="29">
        <v>0</v>
      </c>
      <c r="R12" s="29">
        <f ca="1">ROUND(('TUSD BE'!$AM$30+'TUSD BF'!$AM$30+'TUSD CVA'!$AM$30)*(1-CUSTOS!$M$38),2)</f>
        <v>566.08000000000004</v>
      </c>
      <c r="S12" s="29">
        <f>ROUND(('TE BE'!$AB$20+'TE BF'!$AB$20+'TE CVA'!$AB$20)*(1-CUSTOS!$M$38),2)</f>
        <v>225.52</v>
      </c>
      <c r="T12" s="29">
        <v>0</v>
      </c>
      <c r="U12" s="29">
        <f ca="1">ROUND('TUSD BE'!$AM$30*(1-CUSTOS!$M$38),2)</f>
        <v>578.49</v>
      </c>
      <c r="V12" s="29">
        <f>ROUND('TE BE'!$AB$20*(1-CUSTOS!$M$38),2)</f>
        <v>229.35</v>
      </c>
    </row>
    <row r="13" spans="1:22" ht="11.25" customHeight="1" x14ac:dyDescent="0.25">
      <c r="A13" s="117"/>
      <c r="B13" s="117"/>
      <c r="C13" s="117"/>
      <c r="D13" s="77" t="s">
        <v>605</v>
      </c>
      <c r="E13" s="29">
        <v>0</v>
      </c>
      <c r="F13" s="29">
        <f ca="1">ROUND('TUSD BE'!$AM$13+'TUSD BF'!$AM$13+'TUSD CVA'!$AM$13,2)</f>
        <v>991.55</v>
      </c>
      <c r="G13" s="29">
        <v>0</v>
      </c>
      <c r="H13" s="29">
        <v>0</v>
      </c>
      <c r="I13" s="29">
        <f ca="1">ROUND('TUSD BE'!$AM$13,2)</f>
        <v>1008.25</v>
      </c>
      <c r="J13" s="29">
        <v>0</v>
      </c>
      <c r="L13" s="121"/>
      <c r="M13" s="121"/>
      <c r="N13" s="121"/>
      <c r="O13" s="121"/>
      <c r="P13" s="77" t="s">
        <v>613</v>
      </c>
      <c r="Q13" s="29">
        <v>0</v>
      </c>
      <c r="R13" s="29">
        <f ca="1">ROUND(('TUSD BE'!$AM$31+'TUSD BF'!$AM$31+'TUSD CVA'!$AM$31)*(1-CUSTOS!$M$38),2)</f>
        <v>382.51</v>
      </c>
      <c r="S13" s="29">
        <f>ROUND(('TE BE'!$AB$21+'TE BF'!$AB$21+'TE CVA'!$AB$21)*(1-CUSTOS!$M$38),2)</f>
        <v>225.52</v>
      </c>
      <c r="T13" s="29">
        <v>0</v>
      </c>
      <c r="U13" s="29">
        <f ca="1">ROUND('TUSD BE'!$AM$31*(1-CUSTOS!$M$38),2)</f>
        <v>391.46</v>
      </c>
      <c r="V13" s="29">
        <f>ROUND('TE BE'!$AB$21*(1-CUSTOS!$M$38),2)</f>
        <v>229.35</v>
      </c>
    </row>
    <row r="14" spans="1:22" ht="11.25" customHeight="1" x14ac:dyDescent="0.25">
      <c r="A14" s="117"/>
      <c r="B14" s="117"/>
      <c r="C14" s="117"/>
      <c r="D14" s="77" t="s">
        <v>606</v>
      </c>
      <c r="E14" s="29">
        <v>0</v>
      </c>
      <c r="F14" s="29">
        <f ca="1">ROUND('TUSD BE'!$AM$14+'TUSD BF'!$AM$14+'TUSD CVA'!$AM$14,2)</f>
        <v>6.98</v>
      </c>
      <c r="G14" s="29">
        <v>0</v>
      </c>
      <c r="H14" s="29">
        <v>0</v>
      </c>
      <c r="I14" s="29">
        <f ca="1">ROUND('TUSD BE'!$AM$14,2)</f>
        <v>7.1</v>
      </c>
      <c r="J14" s="29">
        <v>0</v>
      </c>
      <c r="L14" s="121"/>
      <c r="M14" s="122"/>
      <c r="N14" s="122"/>
      <c r="O14" s="122"/>
      <c r="P14" s="77" t="s">
        <v>606</v>
      </c>
      <c r="Q14" s="29">
        <v>0</v>
      </c>
      <c r="R14" s="29">
        <f ca="1">ROUND(('TUSD BE'!$AM$32+'TUSD BF'!$AM$32+'TUSD CVA'!$AM$32)*(1-CUSTOS!$M$38),2)</f>
        <v>198.99</v>
      </c>
      <c r="S14" s="29">
        <f>ROUND(('TE BE'!$AB$22+'TE BF'!$AB$22+'TE CVA'!$AB$22)*(1-CUSTOS!$M$38),2)</f>
        <v>225.52</v>
      </c>
      <c r="T14" s="29">
        <v>0</v>
      </c>
      <c r="U14" s="29">
        <f ca="1">ROUND('TUSD BE'!$AM$32*(1-CUSTOS!$M$38),2)</f>
        <v>204.48</v>
      </c>
      <c r="V14" s="29">
        <f>ROUND('TE BE'!$AB$22*(1-CUSTOS!$M$38),2)</f>
        <v>229.35</v>
      </c>
    </row>
    <row r="15" spans="1:22" ht="11.25" customHeight="1" x14ac:dyDescent="0.25">
      <c r="A15" s="117"/>
      <c r="B15" s="77" t="s">
        <v>71</v>
      </c>
      <c r="C15" s="77" t="s">
        <v>25</v>
      </c>
      <c r="D15" s="77" t="s">
        <v>608</v>
      </c>
      <c r="E15" s="29">
        <f ca="1">ROUND('TUSD BE'!$AM$9+'TUSD BF'!$AM$9+'TUSD CVA'!$AM$9,2)</f>
        <v>4.45</v>
      </c>
      <c r="F15" s="29">
        <v>0</v>
      </c>
      <c r="G15" s="29">
        <v>0</v>
      </c>
      <c r="H15" s="29">
        <f ca="1">ROUND('TUSD BE'!$AM$9,2)</f>
        <v>4.5599999999999996</v>
      </c>
      <c r="I15" s="29">
        <v>0</v>
      </c>
      <c r="J15" s="29">
        <v>0</v>
      </c>
      <c r="L15" s="121"/>
      <c r="M15" s="77" t="s">
        <v>614</v>
      </c>
      <c r="N15" s="77" t="s">
        <v>617</v>
      </c>
      <c r="O15" s="77" t="s">
        <v>618</v>
      </c>
      <c r="P15" s="77" t="s">
        <v>608</v>
      </c>
      <c r="Q15" s="29">
        <v>0</v>
      </c>
      <c r="R15" s="29">
        <f ca="1">ROUND(('TUSD BE'!$AM$42+'TUSD BF'!$AM$42+'TUSD CVA'!$AM$42)*(1-CUSTOS!$M$38),2)</f>
        <v>262.76</v>
      </c>
      <c r="S15" s="29">
        <f>ROUND(('TE BE'!$AB$32+'TE BF'!$AB$32+'TE CVA'!$AB$32)*(1-CUSTOS!$M$38),2)</f>
        <v>225.52</v>
      </c>
      <c r="T15" s="29">
        <v>0</v>
      </c>
      <c r="U15" s="29">
        <f ca="1">ROUND(('TUSD BE'!$AM$42)*(1-CUSTOS!$M$38),2)</f>
        <v>269.45999999999998</v>
      </c>
      <c r="V15" s="29">
        <f>ROUND(('TE BE'!$AB$32)*(1-CUSTOS!$M$38),2)</f>
        <v>229.35</v>
      </c>
    </row>
    <row r="16" spans="1:22" ht="11.25" customHeight="1" x14ac:dyDescent="0.25">
      <c r="L16" s="121"/>
      <c r="M16" s="77" t="s">
        <v>616</v>
      </c>
      <c r="N16" s="77" t="s">
        <v>617</v>
      </c>
      <c r="O16" s="77" t="s">
        <v>618</v>
      </c>
      <c r="P16" s="77" t="s">
        <v>608</v>
      </c>
      <c r="Q16" s="29">
        <v>0</v>
      </c>
      <c r="R16" s="29">
        <f ca="1">ROUND(('TUSD BE'!$AM$33+'TUSD BF'!$AM$33+'TUSD CVA'!$AM$33)*(1-CUSTOS!$M$38),2)</f>
        <v>262.76</v>
      </c>
      <c r="S16" s="29">
        <f>ROUND(('TE BE'!$AB$23+'TE BF'!$AB$23+'TE CVA'!$AB$23)*(1-CUSTOS!$M$38),2)</f>
        <v>225.52</v>
      </c>
      <c r="T16" s="29">
        <v>0</v>
      </c>
      <c r="U16" s="29">
        <f ca="1">ROUND(('TUSD BE'!$AM$33)*(1-CUSTOS!$M$38),2)</f>
        <v>269.45999999999998</v>
      </c>
      <c r="V16" s="29">
        <f>ROUND(('TE BE'!$AB$23)*(1-CUSTOS!$M$38),2)</f>
        <v>229.35</v>
      </c>
    </row>
    <row r="17" spans="12:22" ht="11.25" customHeight="1" x14ac:dyDescent="0.25">
      <c r="L17" s="121"/>
      <c r="M17" s="120" t="s">
        <v>611</v>
      </c>
      <c r="N17" s="120" t="s">
        <v>617</v>
      </c>
      <c r="O17" s="120" t="s">
        <v>619</v>
      </c>
      <c r="P17" s="77" t="s">
        <v>605</v>
      </c>
      <c r="Q17" s="29">
        <v>0</v>
      </c>
      <c r="R17" s="29">
        <f ca="1">ROUND(('TUSD BE'!$AM$34+'TUSD BF'!$AM$34+'TUSD CVA'!$AM$34)*(1-CUSTOS!$M$39),2)</f>
        <v>566.08000000000004</v>
      </c>
      <c r="S17" s="29">
        <f>ROUND(('TE BE'!$AB$24+'TE BF'!$AB$24+'TE CVA'!$AB$24)*(1-CUSTOS!$M$39),2)</f>
        <v>225.52</v>
      </c>
      <c r="T17" s="29">
        <v>0</v>
      </c>
      <c r="U17" s="29">
        <f ca="1">ROUND('TUSD BE'!$AM$34*(1-CUSTOS!$M$39),2)</f>
        <v>578.49</v>
      </c>
      <c r="V17" s="29">
        <f>ROUND('TE BE'!$AB$24*(1-CUSTOS!$M$39),2)</f>
        <v>229.35</v>
      </c>
    </row>
    <row r="18" spans="12:22" ht="11.25" customHeight="1" x14ac:dyDescent="0.25">
      <c r="L18" s="121"/>
      <c r="M18" s="121"/>
      <c r="N18" s="121"/>
      <c r="O18" s="121"/>
      <c r="P18" s="77" t="s">
        <v>613</v>
      </c>
      <c r="Q18" s="29">
        <v>0</v>
      </c>
      <c r="R18" s="29">
        <f ca="1">ROUND(('TUSD BE'!$AM$35+'TUSD BF'!$AM$35+'TUSD CVA'!$AM$35)*(1-CUSTOS!$M$39),2)</f>
        <v>382.51</v>
      </c>
      <c r="S18" s="29">
        <f>ROUND(('TE BE'!$AB$25+'TE BF'!$AB$25+'TE CVA'!$AB$25)*(1-CUSTOS!$M$39),2)</f>
        <v>225.52</v>
      </c>
      <c r="T18" s="29">
        <v>0</v>
      </c>
      <c r="U18" s="29">
        <f ca="1">ROUND('TUSD BE'!$AM$35*(1-CUSTOS!$M$39),2)</f>
        <v>391.46</v>
      </c>
      <c r="V18" s="29">
        <f>ROUND('TE BE'!$AB$25*(1-CUSTOS!$M$39),2)</f>
        <v>229.35</v>
      </c>
    </row>
    <row r="19" spans="12:22" ht="11.25" customHeight="1" x14ac:dyDescent="0.25">
      <c r="L19" s="121"/>
      <c r="M19" s="122"/>
      <c r="N19" s="122"/>
      <c r="O19" s="122"/>
      <c r="P19" s="77" t="s">
        <v>606</v>
      </c>
      <c r="Q19" s="29">
        <v>0</v>
      </c>
      <c r="R19" s="29">
        <f ca="1">ROUND(('TUSD BE'!$AM$36+'TUSD BF'!$AM$36+'TUSD CVA'!$AM$36)*(1-CUSTOS!$M$39),2)</f>
        <v>198.99</v>
      </c>
      <c r="S19" s="29">
        <f>ROUND(('TE BE'!$AB$26+'TE BF'!$AB$26+'TE CVA'!$AB$26)*(1-CUSTOS!$M$39),2)</f>
        <v>225.52</v>
      </c>
      <c r="T19" s="29">
        <v>0</v>
      </c>
      <c r="U19" s="29">
        <f ca="1">ROUND('TUSD BE'!$AM$36*(1-CUSTOS!$M$39),2)</f>
        <v>204.48</v>
      </c>
      <c r="V19" s="29">
        <f>ROUND('TE BE'!$AB$26*(1-CUSTOS!$M$39),2)</f>
        <v>229.35</v>
      </c>
    </row>
    <row r="20" spans="12:22" ht="11.25" customHeight="1" x14ac:dyDescent="0.25">
      <c r="L20" s="121"/>
      <c r="M20" s="77" t="s">
        <v>614</v>
      </c>
      <c r="N20" s="77" t="s">
        <v>617</v>
      </c>
      <c r="O20" s="77" t="s">
        <v>619</v>
      </c>
      <c r="P20" s="77" t="s">
        <v>608</v>
      </c>
      <c r="Q20" s="29">
        <v>0</v>
      </c>
      <c r="R20" s="29">
        <f ca="1">ROUND(('TUSD BE'!$AM$42+'TUSD BF'!$AM$42+'TUSD CVA'!$AM$42)*(1-CUSTOS!$M$39),2)</f>
        <v>262.76</v>
      </c>
      <c r="S20" s="29">
        <f>ROUND(('TE BE'!$AB$32+'TE BF'!$AB$32+'TE CVA'!$AB$32)*(1-CUSTOS!$M$39),2)</f>
        <v>225.52</v>
      </c>
      <c r="T20" s="29">
        <v>0</v>
      </c>
      <c r="U20" s="29">
        <f ca="1">ROUND(('TUSD BE'!$AM$42)*(1-CUSTOS!$M$39),2)</f>
        <v>269.45999999999998</v>
      </c>
      <c r="V20" s="29">
        <f>ROUND(('TE BE'!$AB$32)*(1-CUSTOS!$M$39),2)</f>
        <v>229.35</v>
      </c>
    </row>
    <row r="21" spans="12:22" ht="11.25" customHeight="1" x14ac:dyDescent="0.25">
      <c r="L21" s="121"/>
      <c r="M21" s="77" t="s">
        <v>616</v>
      </c>
      <c r="N21" s="77" t="s">
        <v>617</v>
      </c>
      <c r="O21" s="77" t="s">
        <v>619</v>
      </c>
      <c r="P21" s="77" t="s">
        <v>608</v>
      </c>
      <c r="Q21" s="29">
        <v>0</v>
      </c>
      <c r="R21" s="29">
        <f ca="1">ROUND(('TUSD BE'!$AM$33+'TUSD BF'!$AM$33+'TUSD CVA'!$AM$33)*(1-CUSTOS!$M$39),2)</f>
        <v>262.76</v>
      </c>
      <c r="S21" s="29">
        <f>ROUND(('TE BE'!$AB$23+'TE BF'!$AB$23+'TE CVA'!$AB$23)*(1-CUSTOS!$M$39),2)</f>
        <v>225.52</v>
      </c>
      <c r="T21" s="29">
        <v>0</v>
      </c>
      <c r="U21" s="29">
        <f ca="1">ROUND(('TUSD BE'!$AM$33)*(1-CUSTOS!$M$39),2)</f>
        <v>269.45999999999998</v>
      </c>
      <c r="V21" s="29">
        <f>ROUND(('TE BE'!$AB$23)*(1-CUSTOS!$M$39),2)</f>
        <v>229.35</v>
      </c>
    </row>
    <row r="22" spans="12:22" ht="11.25" customHeight="1" x14ac:dyDescent="0.25">
      <c r="L22" s="121"/>
      <c r="M22" s="120" t="s">
        <v>611</v>
      </c>
      <c r="N22" s="120" t="s">
        <v>617</v>
      </c>
      <c r="O22" s="120" t="s">
        <v>620</v>
      </c>
      <c r="P22" s="77" t="s">
        <v>605</v>
      </c>
      <c r="Q22" s="29">
        <v>0</v>
      </c>
      <c r="R22" s="29">
        <f ca="1">ROUND(('TUSD BE'!$AM$38+'TUSD BF'!$AM$38+'TUSD CVA'!$AM$38)*(1-CUSTOS!$M$40),2)</f>
        <v>554.04</v>
      </c>
      <c r="S22" s="29">
        <f>ROUND(('TE BE'!$AB$28+'TE BF'!$AB$28+'TE CVA'!$AB$28)*(1-CUSTOS!$M$40),2)</f>
        <v>220.72</v>
      </c>
      <c r="T22" s="29">
        <v>0</v>
      </c>
      <c r="U22" s="29">
        <f ca="1">ROUND('TUSD BE'!$AM$38*(1-CUSTOS!$M$40),2)</f>
        <v>566.17999999999995</v>
      </c>
      <c r="V22" s="29">
        <f>ROUND('TE BE'!$AB$28*(1-CUSTOS!$M$40),2)</f>
        <v>224.47</v>
      </c>
    </row>
    <row r="23" spans="12:22" ht="11.25" customHeight="1" x14ac:dyDescent="0.25">
      <c r="L23" s="121"/>
      <c r="M23" s="121"/>
      <c r="N23" s="121"/>
      <c r="O23" s="121"/>
      <c r="P23" s="77" t="s">
        <v>613</v>
      </c>
      <c r="Q23" s="29">
        <v>0</v>
      </c>
      <c r="R23" s="29">
        <f ca="1">ROUND(('TUSD BE'!$AM$39+'TUSD BF'!$AM$39+'TUSD CVA'!$AM$39)*(1-CUSTOS!$M$40),2)</f>
        <v>374.37</v>
      </c>
      <c r="S23" s="29">
        <f>ROUND(('TE BE'!$AB$29+'TE BF'!$AB$29+'TE CVA'!$AB$29)*(1-CUSTOS!$M$40),2)</f>
        <v>220.72</v>
      </c>
      <c r="T23" s="29">
        <v>0</v>
      </c>
      <c r="U23" s="29">
        <f ca="1">ROUND('TUSD BE'!$AM$39*(1-CUSTOS!$M$40),2)</f>
        <v>383.14</v>
      </c>
      <c r="V23" s="29">
        <f>ROUND('TE BE'!$AB$29*(1-CUSTOS!$M$40),2)</f>
        <v>224.47</v>
      </c>
    </row>
    <row r="24" spans="12:22" ht="11.25" customHeight="1" x14ac:dyDescent="0.25">
      <c r="L24" s="121"/>
      <c r="M24" s="122"/>
      <c r="N24" s="122"/>
      <c r="O24" s="122"/>
      <c r="P24" s="77" t="s">
        <v>606</v>
      </c>
      <c r="Q24" s="29">
        <v>0</v>
      </c>
      <c r="R24" s="29">
        <f ca="1">ROUND(('TUSD BE'!$AM$40+'TUSD BF'!$AM$40+'TUSD CVA'!$AM$40)*(1-CUSTOS!$M$40),2)</f>
        <v>194.75</v>
      </c>
      <c r="S24" s="29">
        <f>ROUND(('TE BE'!$AB$30+'TE BF'!$AB$30+'TE CVA'!$AB$30)*(1-CUSTOS!$M$40),2)</f>
        <v>220.72</v>
      </c>
      <c r="T24" s="29">
        <v>0</v>
      </c>
      <c r="U24" s="29">
        <f ca="1">ROUND('TUSD BE'!$AM$40*(1-CUSTOS!$M$40),2)</f>
        <v>200.13</v>
      </c>
      <c r="V24" s="29">
        <f>ROUND('TE BE'!$AB$30*(1-CUSTOS!$M$40),2)</f>
        <v>224.47</v>
      </c>
    </row>
    <row r="25" spans="12:22" ht="11.25" customHeight="1" x14ac:dyDescent="0.25">
      <c r="L25" s="121"/>
      <c r="M25" s="77" t="s">
        <v>614</v>
      </c>
      <c r="N25" s="77" t="s">
        <v>617</v>
      </c>
      <c r="O25" s="77" t="s">
        <v>620</v>
      </c>
      <c r="P25" s="77" t="s">
        <v>608</v>
      </c>
      <c r="Q25" s="29">
        <v>0</v>
      </c>
      <c r="R25" s="29">
        <f ca="1">ROUND(('TUSD BE'!$AM$42+'TUSD BF'!$AM$42+'TUSD CVA'!$AM$42)*(1-CUSTOS!$M$40),2)</f>
        <v>257.17</v>
      </c>
      <c r="S25" s="29">
        <f>ROUND(('TE BE'!$AB$32+'TE BF'!$AB$32+'TE CVA'!$AB$32)*(1-CUSTOS!$M$40),2)</f>
        <v>220.72</v>
      </c>
      <c r="T25" s="29">
        <v>0</v>
      </c>
      <c r="U25" s="29">
        <f ca="1">ROUND(('TUSD BE'!$AM$42)*(1-CUSTOS!$M$40),2)</f>
        <v>263.72000000000003</v>
      </c>
      <c r="V25" s="29">
        <f>ROUND(('TE BE'!$AB$32)*(1-CUSTOS!$M$40),2)</f>
        <v>224.47</v>
      </c>
    </row>
    <row r="26" spans="12:22" ht="11.25" customHeight="1" x14ac:dyDescent="0.25">
      <c r="L26" s="122"/>
      <c r="M26" s="77" t="s">
        <v>616</v>
      </c>
      <c r="N26" s="77" t="s">
        <v>617</v>
      </c>
      <c r="O26" s="77" t="s">
        <v>620</v>
      </c>
      <c r="P26" s="77" t="s">
        <v>608</v>
      </c>
      <c r="Q26" s="29">
        <v>0</v>
      </c>
      <c r="R26" s="29">
        <f ca="1">ROUND(('TUSD BE'!$AM$33+'TUSD BF'!$AM$33+'TUSD CVA'!$AM$33)*(1-CUSTOS!$M$40),2)</f>
        <v>257.17</v>
      </c>
      <c r="S26" s="29">
        <f>ROUND(('TE BE'!$AB$23+'TE BF'!$AB$23+'TE CVA'!$AB$23)*(1-CUSTOS!$M$40),2)</f>
        <v>220.72</v>
      </c>
      <c r="T26" s="29">
        <v>0</v>
      </c>
      <c r="U26" s="29">
        <f ca="1">ROUND(('TUSD BE'!$AM$33)*(1-CUSTOS!$M$40),2)</f>
        <v>263.72000000000003</v>
      </c>
      <c r="V26" s="29">
        <f>ROUND(('TE BE'!$AB$23)*(1-CUSTOS!$M$40),2)</f>
        <v>224.47</v>
      </c>
    </row>
    <row r="27" spans="12:22" ht="11.25" customHeight="1" x14ac:dyDescent="0.25">
      <c r="L27" s="120" t="s">
        <v>31</v>
      </c>
      <c r="M27" s="120" t="s">
        <v>611</v>
      </c>
      <c r="N27" s="120" t="s">
        <v>608</v>
      </c>
      <c r="O27" s="120" t="s">
        <v>608</v>
      </c>
      <c r="P27" s="77" t="s">
        <v>605</v>
      </c>
      <c r="Q27" s="29">
        <v>0</v>
      </c>
      <c r="R27" s="29">
        <f ca="1">ROUND(('TUSD BE'!$AM$45+'TUSD BF'!$AM$45+'TUSD CVA'!$AM$45)*(1-CUSTOS!$M$31),2)</f>
        <v>676.67</v>
      </c>
      <c r="S27" s="29">
        <f>ROUND(('TE BE'!$AB$35+'TE BF'!$AB$35+'TE CVA'!$AB$35)*(1-CUSTOS!$M$31),2)</f>
        <v>239.91</v>
      </c>
      <c r="T27" s="29">
        <v>0</v>
      </c>
      <c r="U27" s="29">
        <f ca="1">ROUND('TUSD BE'!$AM$45*(1-CUSTOS!$M$31),2)</f>
        <v>691.28</v>
      </c>
      <c r="V27" s="29">
        <f>ROUND('TE BE'!$AB$35*(1-CUSTOS!$M$31),2)</f>
        <v>243.99</v>
      </c>
    </row>
    <row r="28" spans="12:22" ht="11.25" customHeight="1" x14ac:dyDescent="0.25">
      <c r="L28" s="121"/>
      <c r="M28" s="121"/>
      <c r="N28" s="121"/>
      <c r="O28" s="121"/>
      <c r="P28" s="77" t="s">
        <v>613</v>
      </c>
      <c r="Q28" s="29">
        <v>0</v>
      </c>
      <c r="R28" s="29">
        <f ca="1">ROUND(('TUSD BE'!$AM$46+'TUSD BF'!$AM$46+'TUSD CVA'!$AM$46)*(1-CUSTOS!$M$31),2)</f>
        <v>451.62</v>
      </c>
      <c r="S28" s="29">
        <f>ROUND(('TE BE'!$AB$36+'TE BF'!$AB$36+'TE CVA'!$AB$36)*(1-CUSTOS!$M$31),2)</f>
        <v>239.91</v>
      </c>
      <c r="T28" s="29">
        <v>0</v>
      </c>
      <c r="U28" s="29">
        <f ca="1">ROUND('TUSD BE'!$AM$46*(1-CUSTOS!$M$31),2)</f>
        <v>461.98</v>
      </c>
      <c r="V28" s="29">
        <f>ROUND('TE BE'!$AB$36*(1-CUSTOS!$M$31),2)</f>
        <v>243.99</v>
      </c>
    </row>
    <row r="29" spans="12:22" ht="11.25" customHeight="1" x14ac:dyDescent="0.25">
      <c r="L29" s="121"/>
      <c r="M29" s="122"/>
      <c r="N29" s="122"/>
      <c r="O29" s="122"/>
      <c r="P29" s="77" t="s">
        <v>606</v>
      </c>
      <c r="Q29" s="29">
        <v>0</v>
      </c>
      <c r="R29" s="29">
        <f ca="1">ROUND(('TUSD BE'!$AM$47+'TUSD BF'!$AM$47+'TUSD CVA'!$AM$47)*(1-CUSTOS!$M$31),2)</f>
        <v>226.58</v>
      </c>
      <c r="S29" s="29">
        <f>ROUND(('TE BE'!$AB$37+'TE BF'!$AB$37+'TE CVA'!$AB$37)*(1-CUSTOS!$M$31),2)</f>
        <v>239.91</v>
      </c>
      <c r="T29" s="29">
        <v>0</v>
      </c>
      <c r="U29" s="29">
        <f ca="1">ROUND('TUSD BE'!$AM$47*(1-CUSTOS!$M$31),2)</f>
        <v>232.7</v>
      </c>
      <c r="V29" s="29">
        <f>ROUND('TE BE'!$AB$37*(1-CUSTOS!$M$31),2)</f>
        <v>243.99</v>
      </c>
    </row>
    <row r="30" spans="12:22" ht="11.25" customHeight="1" x14ac:dyDescent="0.25">
      <c r="L30" s="121"/>
      <c r="M30" s="77" t="s">
        <v>614</v>
      </c>
      <c r="N30" s="77" t="s">
        <v>608</v>
      </c>
      <c r="O30" s="77" t="s">
        <v>608</v>
      </c>
      <c r="P30" s="77" t="s">
        <v>608</v>
      </c>
      <c r="Q30" s="29">
        <v>0</v>
      </c>
      <c r="R30" s="29">
        <f ca="1">ROUND(('TUSD BE'!$AM$49+'TUSD BF'!$AM$49+'TUSD CVA'!$AM$49)*(1-CUSTOS!$M$31),2)</f>
        <v>279.52999999999997</v>
      </c>
      <c r="S30" s="29">
        <f>ROUND(('TE BE'!$AB$39+'TE BF'!$AB$39+'TE CVA'!$AB$39)*(1-CUSTOS!$M$31),2)</f>
        <v>239.91</v>
      </c>
      <c r="T30" s="29">
        <v>0</v>
      </c>
      <c r="U30" s="29">
        <f ca="1">ROUND(('TUSD BE'!$AM$49)*(1-CUSTOS!$M$31),2)</f>
        <v>286.64999999999998</v>
      </c>
      <c r="V30" s="29">
        <f>ROUND(('TE BE'!$AB$39)*(1-CUSTOS!$M$31),2)</f>
        <v>243.99</v>
      </c>
    </row>
    <row r="31" spans="12:22" ht="11.25" customHeight="1" x14ac:dyDescent="0.25">
      <c r="L31" s="122"/>
      <c r="M31" s="77" t="s">
        <v>616</v>
      </c>
      <c r="N31" s="77" t="s">
        <v>608</v>
      </c>
      <c r="O31" s="77" t="s">
        <v>608</v>
      </c>
      <c r="P31" s="77" t="s">
        <v>608</v>
      </c>
      <c r="Q31" s="29">
        <v>0</v>
      </c>
      <c r="R31" s="29">
        <f ca="1">ROUND(('TUSD BE'!$AM$48+'TUSD BF'!$AM$48+'TUSD CVA'!$AM$48)*(1-CUSTOS!$M$31),2)</f>
        <v>279.52999999999997</v>
      </c>
      <c r="S31" s="29">
        <f>ROUND(('TE BE'!$AB$38+'TE BF'!$AB$38+'TE CVA'!$AB$38)*(1-CUSTOS!$M$31),2)</f>
        <v>239.91</v>
      </c>
      <c r="T31" s="29">
        <v>0</v>
      </c>
      <c r="U31" s="29">
        <f ca="1">ROUND(('TUSD BE'!$AM$48)*(1-CUSTOS!$M$31),2)</f>
        <v>286.64999999999998</v>
      </c>
      <c r="V31" s="29">
        <f>ROUND(('TE BE'!$AB$38)*(1-CUSTOS!$M$31),2)</f>
        <v>243.99</v>
      </c>
    </row>
    <row r="32" spans="12:22" ht="11.25" customHeight="1" x14ac:dyDescent="0.25">
      <c r="L32" s="120" t="s">
        <v>42</v>
      </c>
      <c r="M32" s="120" t="s">
        <v>616</v>
      </c>
      <c r="N32" s="120" t="s">
        <v>621</v>
      </c>
      <c r="O32" s="77" t="s">
        <v>622</v>
      </c>
      <c r="P32" s="77" t="s">
        <v>608</v>
      </c>
      <c r="Q32" s="29">
        <v>0</v>
      </c>
      <c r="R32" s="29">
        <f ca="1">ROUND(('TUSD BE'!$AM$50+'TUSD BF'!$AM$50+'TUSD CVA'!$AM$50),2)</f>
        <v>153.74</v>
      </c>
      <c r="S32" s="29">
        <f>ROUND(('TE BE'!$AB$40+'TE BF'!$AB$40+'TE CVA'!$AB$40),2)</f>
        <v>131.94999999999999</v>
      </c>
      <c r="T32" s="29">
        <v>0</v>
      </c>
      <c r="U32" s="29">
        <f ca="1">ROUND(('TUSD BE'!$AM$50),2)</f>
        <v>157.66</v>
      </c>
      <c r="V32" s="29">
        <f>ROUND(('TE BE'!$AB$40),2)</f>
        <v>134.19999999999999</v>
      </c>
    </row>
    <row r="33" spans="12:22" ht="11.25" customHeight="1" x14ac:dyDescent="0.25">
      <c r="L33" s="122"/>
      <c r="M33" s="122"/>
      <c r="N33" s="122"/>
      <c r="O33" s="77" t="s">
        <v>623</v>
      </c>
      <c r="P33" s="77" t="s">
        <v>608</v>
      </c>
      <c r="Q33" s="29">
        <v>0</v>
      </c>
      <c r="R33" s="29">
        <f ca="1">ROUND(('TUSD BE'!$AM$51+'TUSD BF'!$AM$51+'TUSD CVA'!$AM$51),2)</f>
        <v>167.72</v>
      </c>
      <c r="S33" s="29">
        <f>ROUND(('TE BE'!$AB$41+'TE BF'!$AB$41+'TE CVA'!$AB$41),2)</f>
        <v>143.94999999999999</v>
      </c>
      <c r="T33" s="29">
        <v>0</v>
      </c>
      <c r="U33" s="29">
        <f ca="1">ROUND(('TUSD BE'!$AM$51),2)</f>
        <v>171.99</v>
      </c>
      <c r="V33" s="29">
        <f>ROUND(('TE BE'!$AB$41),2)</f>
        <v>146.4</v>
      </c>
    </row>
    <row r="34" spans="12:22" ht="11.25" customHeight="1" x14ac:dyDescent="0.25">
      <c r="L34" s="120" t="s">
        <v>72</v>
      </c>
      <c r="M34" s="120" t="s">
        <v>624</v>
      </c>
      <c r="N34" s="77" t="s">
        <v>73</v>
      </c>
      <c r="O34" s="77" t="s">
        <v>608</v>
      </c>
      <c r="P34" s="77" t="s">
        <v>608</v>
      </c>
      <c r="Q34" s="29">
        <f ca="1">ROUND(('TUSD BE'!$AM$15+'TUSD BF'!$AM$15+'TUSD CVA'!$AM$15),2)</f>
        <v>2.56</v>
      </c>
      <c r="R34" s="29">
        <v>0</v>
      </c>
      <c r="S34" s="29">
        <v>0</v>
      </c>
      <c r="T34" s="29">
        <f ca="1">ROUND(('TUSD BE'!$AM$15),2)</f>
        <v>2.62</v>
      </c>
      <c r="U34" s="29">
        <v>0</v>
      </c>
      <c r="V34" s="29">
        <v>0</v>
      </c>
    </row>
    <row r="35" spans="12:22" ht="11.25" customHeight="1" x14ac:dyDescent="0.25">
      <c r="L35" s="122"/>
      <c r="M35" s="122"/>
      <c r="N35" s="77" t="s">
        <v>74</v>
      </c>
      <c r="O35" s="77" t="s">
        <v>608</v>
      </c>
      <c r="P35" s="77" t="s">
        <v>608</v>
      </c>
      <c r="Q35" s="29">
        <f ca="1">ROUND(('TUSD BE'!$AM$16+'TUSD BF'!$AM$16+'TUSD CVA'!$AM$16),2)</f>
        <v>7.6</v>
      </c>
      <c r="R35" s="29">
        <v>0</v>
      </c>
      <c r="S35" s="29">
        <v>0</v>
      </c>
      <c r="T35" s="29">
        <f ca="1">ROUND(('TUSD BE'!$AM$16),2)</f>
        <v>7.79</v>
      </c>
      <c r="U35" s="29">
        <v>0</v>
      </c>
      <c r="V35" s="29">
        <v>0</v>
      </c>
    </row>
  </sheetData>
  <mergeCells count="51">
    <mergeCell ref="O5:O7"/>
    <mergeCell ref="O12:O14"/>
    <mergeCell ref="O17:O19"/>
    <mergeCell ref="O22:O24"/>
    <mergeCell ref="O27:O29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L27:L31"/>
    <mergeCell ref="L32:L33"/>
    <mergeCell ref="L34:L35"/>
    <mergeCell ref="M32:M33"/>
    <mergeCell ref="M34:M35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N5:N7"/>
    <mergeCell ref="N12:N14"/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A06F-1B06-4368-915A-3EE08A0F367D}">
  <dimension ref="A1:AN170"/>
  <sheetViews>
    <sheetView showGridLines="0" topLeftCell="Z1" workbookViewId="0">
      <selection activeCell="AJ10" sqref="AJ10"/>
    </sheetView>
  </sheetViews>
  <sheetFormatPr defaultRowHeight="11.25" customHeight="1" x14ac:dyDescent="0.25"/>
  <cols>
    <col min="1" max="1" width="11.28515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0" width="10.140625" style="6" bestFit="1" customWidth="1"/>
    <col min="11" max="11" width="10.5703125" style="6" bestFit="1" customWidth="1"/>
    <col min="12" max="12" width="9.42578125" style="6" bestFit="1" customWidth="1"/>
    <col min="13" max="13" width="13.7109375" style="6" bestFit="1" customWidth="1"/>
    <col min="14" max="14" width="14.140625" style="6" bestFit="1" customWidth="1"/>
    <col min="15" max="15" width="12.85546875" style="6" bestFit="1" customWidth="1"/>
    <col min="16" max="16" width="7" style="6" bestFit="1" customWidth="1"/>
    <col min="17" max="17" width="9.28515625" style="4" bestFit="1" customWidth="1"/>
    <col min="18" max="18" width="18.85546875" style="4" bestFit="1" customWidth="1"/>
    <col min="19" max="19" width="20.28515625" style="4" bestFit="1" customWidth="1"/>
    <col min="20" max="20" width="18.140625" style="4" bestFit="1" customWidth="1"/>
    <col min="21" max="21" width="17" style="4" bestFit="1" customWidth="1"/>
    <col min="22" max="22" width="18.5703125" style="4" bestFit="1" customWidth="1"/>
    <col min="23" max="23" width="16.28515625" style="4" bestFit="1" customWidth="1"/>
    <col min="24" max="24" width="16.7109375" style="4" bestFit="1" customWidth="1"/>
    <col min="25" max="25" width="18.28515625" style="4" bestFit="1" customWidth="1"/>
    <col min="26" max="26" width="16" style="4" bestFit="1" customWidth="1"/>
    <col min="27" max="27" width="16.85546875" style="4" bestFit="1" customWidth="1"/>
    <col min="28" max="28" width="18.42578125" style="4" bestFit="1" customWidth="1"/>
    <col min="29" max="29" width="16.140625" style="4" bestFit="1" customWidth="1"/>
    <col min="30" max="30" width="17.28515625" style="4" bestFit="1" customWidth="1"/>
    <col min="31" max="31" width="21.5703125" style="4" bestFit="1" customWidth="1"/>
    <col min="32" max="32" width="11.42578125" style="4" bestFit="1" customWidth="1"/>
    <col min="33" max="33" width="12.85546875" style="4" bestFit="1" customWidth="1"/>
    <col min="34" max="34" width="10.7109375" style="4" bestFit="1" customWidth="1"/>
    <col min="35" max="35" width="11.7109375" style="4" bestFit="1" customWidth="1"/>
    <col min="36" max="36" width="16" style="4" bestFit="1" customWidth="1"/>
    <col min="37" max="37" width="9.140625" style="4"/>
    <col min="38" max="38" width="8.7109375" style="4" bestFit="1" customWidth="1"/>
    <col min="39" max="39" width="5.5703125" style="4" bestFit="1" customWidth="1"/>
    <col min="40" max="40" width="14.7109375" style="4" bestFit="1" customWidth="1"/>
    <col min="41" max="16384" width="9.140625" style="4"/>
  </cols>
  <sheetData>
    <row r="1" spans="1:40" s="1" customFormat="1" ht="11.25" customHeigh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53" t="s">
        <v>8</v>
      </c>
      <c r="J1" s="30" t="s">
        <v>571</v>
      </c>
      <c r="K1" s="30" t="s">
        <v>572</v>
      </c>
      <c r="L1" s="30" t="s">
        <v>573</v>
      </c>
      <c r="M1" s="30" t="s">
        <v>574</v>
      </c>
      <c r="N1" s="30" t="s">
        <v>575</v>
      </c>
      <c r="O1" s="30" t="s">
        <v>576</v>
      </c>
      <c r="P1" s="7"/>
      <c r="Q1" s="113" t="s">
        <v>577</v>
      </c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L1" s="34" t="s">
        <v>598</v>
      </c>
      <c r="AM1" s="34" t="s">
        <v>50</v>
      </c>
      <c r="AN1" s="34" t="s">
        <v>599</v>
      </c>
    </row>
    <row r="2" spans="1:40" ht="11.25" customHeight="1" x14ac:dyDescent="0.2">
      <c r="A2" s="35" t="s">
        <v>21</v>
      </c>
      <c r="B2" s="35" t="s">
        <v>33</v>
      </c>
      <c r="C2" s="35" t="s">
        <v>34</v>
      </c>
      <c r="D2" s="35" t="s">
        <v>32</v>
      </c>
      <c r="E2" s="35" t="s">
        <v>25</v>
      </c>
      <c r="F2" s="35" t="s">
        <v>25</v>
      </c>
      <c r="G2" s="35" t="s">
        <v>25</v>
      </c>
      <c r="H2" s="35" t="s">
        <v>36</v>
      </c>
      <c r="I2" s="54">
        <v>44440</v>
      </c>
      <c r="J2" s="55">
        <f ca="1">EFEITO!$J$2*EFEITO!$Y$2</f>
        <v>96444.393584760415</v>
      </c>
      <c r="K2" s="55">
        <f ca="1">EFEITO!$L$2*EFEITO!$Z$2</f>
        <v>295909.29422597436</v>
      </c>
      <c r="L2" s="55">
        <f>EFEITO!$N$2*EFEITO!$AA$2</f>
        <v>760686.30282391654</v>
      </c>
      <c r="M2" s="55">
        <f ca="1">$J$2-EFEITO!$K$2*EFEITO!$Y$2</f>
        <v>0</v>
      </c>
      <c r="N2" s="55">
        <f ca="1">$K$2-EFEITO!$M$2*EFEITO!$Z$2</f>
        <v>0</v>
      </c>
      <c r="O2" s="55">
        <f>$L$2-EFEITO!$O$2*EFEITO!$AA$2</f>
        <v>0</v>
      </c>
      <c r="P2" s="39"/>
      <c r="Q2" s="28" t="s">
        <v>53</v>
      </c>
      <c r="R2" s="28" t="s">
        <v>579</v>
      </c>
      <c r="S2" s="28" t="s">
        <v>580</v>
      </c>
      <c r="T2" s="28" t="s">
        <v>581</v>
      </c>
      <c r="U2" s="28" t="s">
        <v>582</v>
      </c>
      <c r="V2" s="28" t="s">
        <v>583</v>
      </c>
      <c r="W2" s="28" t="s">
        <v>584</v>
      </c>
      <c r="X2" s="56" t="s">
        <v>585</v>
      </c>
      <c r="Y2" s="56" t="s">
        <v>586</v>
      </c>
      <c r="Z2" s="56" t="s">
        <v>587</v>
      </c>
      <c r="AA2" s="56" t="s">
        <v>588</v>
      </c>
      <c r="AB2" s="56" t="s">
        <v>589</v>
      </c>
      <c r="AC2" s="56" t="s">
        <v>590</v>
      </c>
      <c r="AD2" s="56" t="s">
        <v>591</v>
      </c>
      <c r="AE2" s="56" t="s">
        <v>592</v>
      </c>
      <c r="AF2" s="56" t="s">
        <v>593</v>
      </c>
      <c r="AG2" s="56" t="s">
        <v>594</v>
      </c>
      <c r="AH2" s="56" t="s">
        <v>595</v>
      </c>
      <c r="AI2" s="56" t="s">
        <v>596</v>
      </c>
      <c r="AJ2" s="56" t="s">
        <v>597</v>
      </c>
      <c r="AL2" s="35"/>
      <c r="AM2" s="35"/>
      <c r="AN2" s="35"/>
    </row>
    <row r="3" spans="1:40" ht="11.25" customHeight="1" x14ac:dyDescent="0.2">
      <c r="A3" s="35" t="s">
        <v>21</v>
      </c>
      <c r="B3" s="35" t="s">
        <v>33</v>
      </c>
      <c r="C3" s="35" t="s">
        <v>34</v>
      </c>
      <c r="D3" s="35" t="s">
        <v>32</v>
      </c>
      <c r="E3" s="35" t="s">
        <v>25</v>
      </c>
      <c r="F3" s="35" t="s">
        <v>25</v>
      </c>
      <c r="G3" s="35" t="s">
        <v>25</v>
      </c>
      <c r="H3" s="35" t="s">
        <v>36</v>
      </c>
      <c r="I3" s="54">
        <v>44470</v>
      </c>
      <c r="J3" s="55">
        <f ca="1">EFEITO!$J$3*EFEITO!$Y$3</f>
        <v>96666.206817476064</v>
      </c>
      <c r="K3" s="55">
        <f ca="1">EFEITO!$L$3*EFEITO!$Z$3</f>
        <v>301497.66541790403</v>
      </c>
      <c r="L3" s="55">
        <f>EFEITO!$N$3*EFEITO!$AA$3</f>
        <v>775052.18285453948</v>
      </c>
      <c r="M3" s="55">
        <f ca="1">$J$3-EFEITO!$K$3*EFEITO!$Y$3</f>
        <v>0</v>
      </c>
      <c r="N3" s="55">
        <f ca="1">$K$3-EFEITO!$M$3*EFEITO!$Z$3</f>
        <v>0</v>
      </c>
      <c r="O3" s="55">
        <f>$L$3-EFEITO!$O$3*EFEITO!$AA$3</f>
        <v>0</v>
      </c>
      <c r="P3" s="39"/>
      <c r="Q3" s="55" t="s">
        <v>578</v>
      </c>
      <c r="R3" s="55">
        <f>SUMIF($B$2:$B$170,$Q$3,$J$2:$J$170)</f>
        <v>0</v>
      </c>
      <c r="S3" s="55">
        <f>SUMIF($B$2:$B$170,$Q$3,$K$2:$K$170)</f>
        <v>0</v>
      </c>
      <c r="T3" s="55">
        <f>SUMIF($B$2:$B$170,$Q$3,$L$2:$L$170)</f>
        <v>0</v>
      </c>
      <c r="U3" s="55">
        <f>SUMIF($B$2:$B$170,$Q$3,$M$2:$M$170)</f>
        <v>0</v>
      </c>
      <c r="V3" s="55">
        <f>SUMIF($B$2:$B$170,$Q$3,$N$2:$N$170)</f>
        <v>0</v>
      </c>
      <c r="W3" s="55">
        <f>SUMIF($B$2:$B$170,$Q$3,$O$2:$O$170)</f>
        <v>0</v>
      </c>
      <c r="X3" s="36">
        <f>$R$3-$U$3</f>
        <v>0</v>
      </c>
      <c r="Y3" s="36">
        <f>$S$3-$V$3</f>
        <v>0</v>
      </c>
      <c r="Z3" s="36">
        <f>$T$3-$W$3</f>
        <v>0</v>
      </c>
      <c r="AA3" s="36">
        <f>SUMIF(EFEITO!$B$2:$B$170,$Q$3,EFEITO!$AE$2:$AE$170)</f>
        <v>0</v>
      </c>
      <c r="AB3" s="36">
        <f>SUMIF(EFEITO!$B$2:$B$170,$Q$3,EFEITO!$AF$2:$AF$170)</f>
        <v>0</v>
      </c>
      <c r="AC3" s="36">
        <f>SUMIF(EFEITO!$B$2:$B$170,$Q$3,EFEITO!$AG$2:$AH$170)</f>
        <v>0</v>
      </c>
      <c r="AD3" s="36">
        <f>SUMIF(SUBSIDIO!$B$2:$B$170,$Q$3,SUBSIDIO!$AD$2:$AD$170)</f>
        <v>0</v>
      </c>
      <c r="AE3" s="36">
        <f>SUMIF(SUBSIDIO!$B$2:$B$170,$Q$3,SUBSIDIO!$AE$2:$AE$170)</f>
        <v>0</v>
      </c>
      <c r="AF3" s="36" t="str">
        <f>IF(ABS($X$3-$AA$3)&lt;0.01,"OK","ERRO")</f>
        <v>OK</v>
      </c>
      <c r="AG3" s="36" t="str">
        <f>IF(ABS($Y$3-$AB$3)&lt;0.01,"OK","ERRO")</f>
        <v>OK</v>
      </c>
      <c r="AH3" s="36" t="str">
        <f>IF(ABS($Z$3-$AC$3)&lt;0.01,"OK","ERRO")</f>
        <v>OK</v>
      </c>
      <c r="AI3" s="36" t="str">
        <f>IF(ABS($U$3-$AD$3)&lt;0.01,"OK","ERRO")</f>
        <v>OK</v>
      </c>
      <c r="AJ3" s="36" t="str">
        <f>IF(ABS(($V$3+$W$3)-$AE$3)&lt;0.01,"OK","ERRO")</f>
        <v>OK</v>
      </c>
    </row>
    <row r="4" spans="1:40" ht="11.25" customHeight="1" x14ac:dyDescent="0.2">
      <c r="A4" s="35" t="s">
        <v>21</v>
      </c>
      <c r="B4" s="35" t="s">
        <v>33</v>
      </c>
      <c r="C4" s="35" t="s">
        <v>34</v>
      </c>
      <c r="D4" s="35" t="s">
        <v>32</v>
      </c>
      <c r="E4" s="35" t="s">
        <v>25</v>
      </c>
      <c r="F4" s="35" t="s">
        <v>25</v>
      </c>
      <c r="G4" s="35" t="s">
        <v>25</v>
      </c>
      <c r="H4" s="35" t="s">
        <v>36</v>
      </c>
      <c r="I4" s="54">
        <v>44501</v>
      </c>
      <c r="J4" s="55">
        <f ca="1">EFEITO!$J$4*EFEITO!$Y$4</f>
        <v>98159.749251094705</v>
      </c>
      <c r="K4" s="55">
        <f ca="1">EFEITO!$L$4*EFEITO!$Z$4</f>
        <v>327518.86875347228</v>
      </c>
      <c r="L4" s="55">
        <f>EFEITO!$N$4*EFEITO!$AA$4</f>
        <v>841944.21141396323</v>
      </c>
      <c r="M4" s="55">
        <f ca="1">$J$4-EFEITO!$K$4*EFEITO!$Y$4</f>
        <v>0</v>
      </c>
      <c r="N4" s="55">
        <f ca="1">$K$4-EFEITO!$M$4*EFEITO!$Z$4</f>
        <v>0</v>
      </c>
      <c r="O4" s="55">
        <f>$L$4-EFEITO!$O$4*EFEITO!$AA$4</f>
        <v>0</v>
      </c>
      <c r="P4" s="39"/>
      <c r="Q4" s="55" t="s">
        <v>455</v>
      </c>
      <c r="R4" s="55">
        <f>SUMIF($B$2:$B$170,$Q$4,$J$2:$J$170)</f>
        <v>0</v>
      </c>
      <c r="S4" s="55">
        <f>SUMIF($B$2:$B$170,$Q$4,$K$2:$K$170)</f>
        <v>0</v>
      </c>
      <c r="T4" s="55">
        <f>SUMIF($B$2:$B$170,$Q$4,$L$2:$L$170)</f>
        <v>0</v>
      </c>
      <c r="U4" s="55">
        <f>SUMIF($B$2:$B$170,$Q$4,$M$2:$M$170)</f>
        <v>0</v>
      </c>
      <c r="V4" s="55">
        <f>SUMIF($B$2:$B$170,$Q$4,$N$2:$N$170)</f>
        <v>0</v>
      </c>
      <c r="W4" s="55">
        <f>SUMIF($B$2:$B$170,$Q$4,$O$2:$O$170)</f>
        <v>0</v>
      </c>
      <c r="X4" s="36">
        <f>$R$4-$U$4</f>
        <v>0</v>
      </c>
      <c r="Y4" s="36">
        <f>$S$4-$V$4</f>
        <v>0</v>
      </c>
      <c r="Z4" s="36">
        <f>$T$4-$W$4</f>
        <v>0</v>
      </c>
      <c r="AA4" s="36">
        <f>SUMIF(EFEITO!$B$2:$B$170,$Q$4,EFEITO!$AE$2:$AE$170)</f>
        <v>0</v>
      </c>
      <c r="AB4" s="36">
        <f>SUMIF(EFEITO!$B$2:$B$170,$Q$4,EFEITO!$AF$2:$AF$170)</f>
        <v>0</v>
      </c>
      <c r="AC4" s="36">
        <f>SUMIF(EFEITO!$B$2:$B$170,$Q$4,EFEITO!$AG$2:$AH$170)</f>
        <v>0</v>
      </c>
      <c r="AD4" s="36">
        <f>SUMIF(SUBSIDIO!$B$2:$B$170,$Q$4,SUBSIDIO!$AD$2:$AD$170)</f>
        <v>0</v>
      </c>
      <c r="AE4" s="36">
        <f>SUMIF(SUBSIDIO!$B$2:$B$170,$Q$4,SUBSIDIO!$AE$2:$AE$170)</f>
        <v>0</v>
      </c>
      <c r="AF4" s="36" t="str">
        <f>IF(ABS($X$4-$AA$4)&lt;0.01,"OK","ERRO")</f>
        <v>OK</v>
      </c>
      <c r="AG4" s="36" t="str">
        <f>IF(ABS($Y$4-$AB$4)&lt;0.01,"OK","ERRO")</f>
        <v>OK</v>
      </c>
      <c r="AH4" s="36" t="str">
        <f>IF(ABS($Z$4-$AC$4)&lt;0.01,"OK","ERRO")</f>
        <v>OK</v>
      </c>
      <c r="AI4" s="36" t="str">
        <f>IF(ABS($U$4-$AD$4)&lt;0.01,"OK","ERRO")</f>
        <v>OK</v>
      </c>
      <c r="AJ4" s="36" t="str">
        <f>IF(ABS(($V$4+$W$4)-$AE$4)&lt;0.01,"OK","ERRO")</f>
        <v>OK</v>
      </c>
    </row>
    <row r="5" spans="1:40" ht="11.25" customHeight="1" x14ac:dyDescent="0.2">
      <c r="A5" s="35" t="s">
        <v>21</v>
      </c>
      <c r="B5" s="35" t="s">
        <v>33</v>
      </c>
      <c r="C5" s="35" t="s">
        <v>34</v>
      </c>
      <c r="D5" s="35" t="s">
        <v>32</v>
      </c>
      <c r="E5" s="35" t="s">
        <v>25</v>
      </c>
      <c r="F5" s="35" t="s">
        <v>25</v>
      </c>
      <c r="G5" s="35" t="s">
        <v>25</v>
      </c>
      <c r="H5" s="35" t="s">
        <v>36</v>
      </c>
      <c r="I5" s="54">
        <v>44531</v>
      </c>
      <c r="J5" s="55">
        <f ca="1">EFEITO!$J$5*EFEITO!$Y$5</f>
        <v>99106.152377348102</v>
      </c>
      <c r="K5" s="55">
        <f ca="1">EFEITO!$L$5*EFEITO!$Z$5</f>
        <v>305926.92555098655</v>
      </c>
      <c r="L5" s="55">
        <f>EFEITO!$N$5*EFEITO!$AA$5</f>
        <v>786438.36632570461</v>
      </c>
      <c r="M5" s="55">
        <f ca="1">$J$5-EFEITO!$K$5*EFEITO!$Y$5</f>
        <v>0</v>
      </c>
      <c r="N5" s="55">
        <f ca="1">$K$5-EFEITO!$M$5*EFEITO!$Z$5</f>
        <v>0</v>
      </c>
      <c r="O5" s="55">
        <f>$L$5-EFEITO!$O$5*EFEITO!$AA$5</f>
        <v>0</v>
      </c>
      <c r="P5" s="39"/>
      <c r="Q5" s="55" t="s">
        <v>456</v>
      </c>
      <c r="R5" s="55">
        <f>SUMIF($B$2:$B$170,$Q$5,$J$2:$J$170)</f>
        <v>0</v>
      </c>
      <c r="S5" s="55">
        <f>SUMIF($B$2:$B$170,$Q$5,$K$2:$K$170)</f>
        <v>0</v>
      </c>
      <c r="T5" s="55">
        <f>SUMIF($B$2:$B$170,$Q$5,$L$2:$L$170)</f>
        <v>0</v>
      </c>
      <c r="U5" s="55">
        <f>SUMIF($B$2:$B$170,$Q$5,$M$2:$M$170)</f>
        <v>0</v>
      </c>
      <c r="V5" s="55">
        <f>SUMIF($B$2:$B$170,$Q$5,$N$2:$N$170)</f>
        <v>0</v>
      </c>
      <c r="W5" s="55">
        <f>SUMIF($B$2:$B$170,$Q$5,$O$2:$O$170)</f>
        <v>0</v>
      </c>
      <c r="X5" s="36">
        <f>$R$5-$U$5</f>
        <v>0</v>
      </c>
      <c r="Y5" s="36">
        <f>$S$5-$V$5</f>
        <v>0</v>
      </c>
      <c r="Z5" s="36">
        <f>$T$5-$W$5</f>
        <v>0</v>
      </c>
      <c r="AA5" s="36">
        <f>SUMIF(EFEITO!$B$2:$B$170,$Q$5,EFEITO!$AE$2:$AE$170)</f>
        <v>0</v>
      </c>
      <c r="AB5" s="36">
        <f>SUMIF(EFEITO!$B$2:$B$170,$Q$5,EFEITO!$AF$2:$AF$170)</f>
        <v>0</v>
      </c>
      <c r="AC5" s="36">
        <f>SUMIF(EFEITO!$B$2:$B$170,$Q$5,EFEITO!$AG$2:$AH$170)</f>
        <v>0</v>
      </c>
      <c r="AD5" s="36">
        <f>SUMIF(SUBSIDIO!$B$2:$B$170,$Q$5,SUBSIDIO!$AD$2:$AD$170)</f>
        <v>0</v>
      </c>
      <c r="AE5" s="36">
        <f>SUMIF(SUBSIDIO!$B$2:$B$170,$Q$5,SUBSIDIO!$AE$2:$AE$170)</f>
        <v>0</v>
      </c>
      <c r="AF5" s="36" t="str">
        <f>IF(ABS($X$5-$AA$5)&lt;0.01,"OK","ERRO")</f>
        <v>OK</v>
      </c>
      <c r="AG5" s="36" t="str">
        <f>IF(ABS($Y$5-$AB$5)&lt;0.01,"OK","ERRO")</f>
        <v>OK</v>
      </c>
      <c r="AH5" s="36" t="str">
        <f>IF(ABS($Z$5-$AC$5)&lt;0.01,"OK","ERRO")</f>
        <v>OK</v>
      </c>
      <c r="AI5" s="36" t="str">
        <f>IF(ABS($U$5-$AD$5)&lt;0.01,"OK","ERRO")</f>
        <v>OK</v>
      </c>
      <c r="AJ5" s="36" t="str">
        <f>IF(ABS(($V$5+$W$5)-$AE$5)&lt;0.01,"OK","ERRO")</f>
        <v>OK</v>
      </c>
    </row>
    <row r="6" spans="1:40" ht="11.25" customHeight="1" x14ac:dyDescent="0.2">
      <c r="A6" s="35" t="s">
        <v>21</v>
      </c>
      <c r="B6" s="35" t="s">
        <v>33</v>
      </c>
      <c r="C6" s="35" t="s">
        <v>34</v>
      </c>
      <c r="D6" s="35" t="s">
        <v>32</v>
      </c>
      <c r="E6" s="35" t="s">
        <v>25</v>
      </c>
      <c r="F6" s="35" t="s">
        <v>25</v>
      </c>
      <c r="G6" s="35" t="s">
        <v>25</v>
      </c>
      <c r="H6" s="35" t="s">
        <v>36</v>
      </c>
      <c r="I6" s="54">
        <v>44562</v>
      </c>
      <c r="J6" s="55">
        <f ca="1">EFEITO!$J$6*EFEITO!$Y$6</f>
        <v>104281.79447404639</v>
      </c>
      <c r="K6" s="55">
        <f ca="1">EFEITO!$L$6*EFEITO!$Z$6</f>
        <v>208024.03785589835</v>
      </c>
      <c r="L6" s="55">
        <f>EFEITO!$N$6*EFEITO!$AA$6</f>
        <v>534761.96707178548</v>
      </c>
      <c r="M6" s="55">
        <f ca="1">$J$6-EFEITO!$K$6*EFEITO!$Y$6</f>
        <v>0</v>
      </c>
      <c r="N6" s="55">
        <f ca="1">$K$6-EFEITO!$M$6*EFEITO!$Z$6</f>
        <v>0</v>
      </c>
      <c r="O6" s="55">
        <f>$L$6-EFEITO!$O$6*EFEITO!$AA$6</f>
        <v>0</v>
      </c>
      <c r="P6" s="39"/>
      <c r="Q6" s="55" t="s">
        <v>457</v>
      </c>
      <c r="R6" s="55">
        <f>SUMIF($B$2:$B$170,$Q$6,$J$2:$J$170)</f>
        <v>0</v>
      </c>
      <c r="S6" s="55">
        <f>SUMIF($B$2:$B$170,$Q$6,$K$2:$K$170)</f>
        <v>0</v>
      </c>
      <c r="T6" s="55">
        <f>SUMIF($B$2:$B$170,$Q$6,$L$2:$L$170)</f>
        <v>0</v>
      </c>
      <c r="U6" s="55">
        <f>SUMIF($B$2:$B$170,$Q$6,$M$2:$M$170)</f>
        <v>0</v>
      </c>
      <c r="V6" s="55">
        <f>SUMIF($B$2:$B$170,$Q$6,$N$2:$N$170)</f>
        <v>0</v>
      </c>
      <c r="W6" s="55">
        <f>SUMIF($B$2:$B$170,$Q$6,$O$2:$O$170)</f>
        <v>0</v>
      </c>
      <c r="X6" s="36">
        <f>$R$6-$U$6</f>
        <v>0</v>
      </c>
      <c r="Y6" s="36">
        <f>$S$6-$V$6</f>
        <v>0</v>
      </c>
      <c r="Z6" s="36">
        <f>$T$6-$W$6</f>
        <v>0</v>
      </c>
      <c r="AA6" s="36">
        <f>SUMIF(EFEITO!$B$2:$B$170,$Q$6,EFEITO!$AE$2:$AE$170)</f>
        <v>0</v>
      </c>
      <c r="AB6" s="36">
        <f>SUMIF(EFEITO!$B$2:$B$170,$Q$6,EFEITO!$AF$2:$AF$170)</f>
        <v>0</v>
      </c>
      <c r="AC6" s="36">
        <f>SUMIF(EFEITO!$B$2:$B$170,$Q$6,EFEITO!$AG$2:$AH$170)</f>
        <v>0</v>
      </c>
      <c r="AD6" s="36">
        <f>SUMIF(SUBSIDIO!$B$2:$B$170,$Q$6,SUBSIDIO!$AD$2:$AD$170)</f>
        <v>0</v>
      </c>
      <c r="AE6" s="36">
        <f>SUMIF(SUBSIDIO!$B$2:$B$170,$Q$6,SUBSIDIO!$AE$2:$AE$170)</f>
        <v>0</v>
      </c>
      <c r="AF6" s="36" t="str">
        <f>IF(ABS($X$6-$AA$6)&lt;0.01,"OK","ERRO")</f>
        <v>OK</v>
      </c>
      <c r="AG6" s="36" t="str">
        <f>IF(ABS($Y$6-$AB$6)&lt;0.01,"OK","ERRO")</f>
        <v>OK</v>
      </c>
      <c r="AH6" s="36" t="str">
        <f>IF(ABS($Z$6-$AC$6)&lt;0.01,"OK","ERRO")</f>
        <v>OK</v>
      </c>
      <c r="AI6" s="36" t="str">
        <f>IF(ABS($U$6-$AD$6)&lt;0.01,"OK","ERRO")</f>
        <v>OK</v>
      </c>
      <c r="AJ6" s="36" t="str">
        <f>IF(ABS(($V$6+$W$6)-$AE$6)&lt;0.01,"OK","ERRO")</f>
        <v>OK</v>
      </c>
    </row>
    <row r="7" spans="1:40" ht="11.25" customHeight="1" x14ac:dyDescent="0.2">
      <c r="A7" s="35" t="s">
        <v>21</v>
      </c>
      <c r="B7" s="35" t="s">
        <v>33</v>
      </c>
      <c r="C7" s="35" t="s">
        <v>34</v>
      </c>
      <c r="D7" s="35" t="s">
        <v>32</v>
      </c>
      <c r="E7" s="35" t="s">
        <v>25</v>
      </c>
      <c r="F7" s="35" t="s">
        <v>25</v>
      </c>
      <c r="G7" s="35" t="s">
        <v>25</v>
      </c>
      <c r="H7" s="35" t="s">
        <v>36</v>
      </c>
      <c r="I7" s="54">
        <v>44593</v>
      </c>
      <c r="J7" s="55">
        <f ca="1">EFEITO!$J$7*EFEITO!$Y$7</f>
        <v>101546.09793722015</v>
      </c>
      <c r="K7" s="55">
        <f ca="1">EFEITO!$L$7*EFEITO!$Z$7</f>
        <v>278270.64767830062</v>
      </c>
      <c r="L7" s="55">
        <f>EFEITO!$N$7*EFEITO!$AA$7</f>
        <v>715343.09431042732</v>
      </c>
      <c r="M7" s="55">
        <f ca="1">$J$7-EFEITO!$K$7*EFEITO!$Y$7</f>
        <v>0</v>
      </c>
      <c r="N7" s="55">
        <f ca="1">$K$7-EFEITO!$M$7*EFEITO!$Z$7</f>
        <v>0</v>
      </c>
      <c r="O7" s="55">
        <f>$L$7-EFEITO!$O$7*EFEITO!$AA$7</f>
        <v>0</v>
      </c>
      <c r="P7" s="39"/>
      <c r="Q7" s="55" t="s">
        <v>33</v>
      </c>
      <c r="R7" s="55">
        <f ca="1">SUMIF($B$2:$B$170,$Q$7,$J$2:$J$170)</f>
        <v>4919348.0599719593</v>
      </c>
      <c r="S7" s="55">
        <f ca="1">SUMIF($B$2:$B$170,$Q$7,$K$2:$K$170)</f>
        <v>5530512.1343344646</v>
      </c>
      <c r="T7" s="55">
        <f>SUMIF($B$2:$B$170,$Q$7,$L$2:$L$170)</f>
        <v>12265686.733719882</v>
      </c>
      <c r="U7" s="55">
        <f ca="1">SUMIF($B$2:$B$170,$Q$7,$M$2:$M$170)</f>
        <v>0</v>
      </c>
      <c r="V7" s="55">
        <f ca="1">SUMIF($B$2:$B$170,$Q$7,$N$2:$N$170)</f>
        <v>0</v>
      </c>
      <c r="W7" s="55">
        <f>SUMIF($B$2:$B$170,$Q$7,$O$2:$O$170)</f>
        <v>0</v>
      </c>
      <c r="X7" s="36">
        <f ca="1">$R$7-$U$7</f>
        <v>4919348.0599719593</v>
      </c>
      <c r="Y7" s="36">
        <f ca="1">$S$7-$V$7</f>
        <v>5530512.1343344646</v>
      </c>
      <c r="Z7" s="36">
        <f>$T$7-$W$7</f>
        <v>12265686.733719882</v>
      </c>
      <c r="AA7" s="36">
        <f ca="1">SUMIF(EFEITO!$B$2:$B$170,$Q$7,EFEITO!$AE$2:$AE$170)</f>
        <v>4919348.0599719593</v>
      </c>
      <c r="AB7" s="36">
        <f ca="1">SUMIF(EFEITO!$B$2:$B$170,$Q$7,EFEITO!$AF$2:$AF$170)</f>
        <v>5530512.1343344646</v>
      </c>
      <c r="AC7" s="36">
        <f>SUMIF(EFEITO!$B$2:$B$170,$Q$7,EFEITO!$AG$2:$AH$170)</f>
        <v>12265686.733719882</v>
      </c>
      <c r="AD7" s="36">
        <f>SUMIF(SUBSIDIO!$B$2:$B$170,$Q$7,SUBSIDIO!$AD$2:$AD$170)</f>
        <v>0</v>
      </c>
      <c r="AE7" s="36">
        <f>SUMIF(SUBSIDIO!$B$2:$B$170,$Q$7,SUBSIDIO!$AE$2:$AE$170)</f>
        <v>0</v>
      </c>
      <c r="AF7" s="36" t="str">
        <f ca="1">IF(ABS($X$7-$AA$7)&lt;0.01,"OK","ERRO")</f>
        <v>OK</v>
      </c>
      <c r="AG7" s="36" t="str">
        <f ca="1">IF(ABS($Y$7-$AB$7)&lt;0.01,"OK","ERRO")</f>
        <v>OK</v>
      </c>
      <c r="AH7" s="36" t="str">
        <f>IF(ABS($Z$7-$AC$7)&lt;0.01,"OK","ERRO")</f>
        <v>OK</v>
      </c>
      <c r="AI7" s="36" t="str">
        <f ca="1">IF(ABS($U$7-$AD$7)&lt;0.01,"OK","ERRO")</f>
        <v>OK</v>
      </c>
      <c r="AJ7" s="36" t="str">
        <f ca="1">IF(ABS(($V$7+$W$7)-$AE$7)&lt;0.01,"OK","ERRO")</f>
        <v>OK</v>
      </c>
    </row>
    <row r="8" spans="1:40" ht="11.25" customHeight="1" x14ac:dyDescent="0.2">
      <c r="A8" s="35" t="s">
        <v>21</v>
      </c>
      <c r="B8" s="35" t="s">
        <v>33</v>
      </c>
      <c r="C8" s="35" t="s">
        <v>34</v>
      </c>
      <c r="D8" s="35" t="s">
        <v>32</v>
      </c>
      <c r="E8" s="35" t="s">
        <v>25</v>
      </c>
      <c r="F8" s="35" t="s">
        <v>25</v>
      </c>
      <c r="G8" s="35" t="s">
        <v>25</v>
      </c>
      <c r="H8" s="35" t="s">
        <v>36</v>
      </c>
      <c r="I8" s="54">
        <v>44621</v>
      </c>
      <c r="J8" s="55">
        <f ca="1">EFEITO!$J$8*EFEITO!$Y$8</f>
        <v>99889.892466276695</v>
      </c>
      <c r="K8" s="55">
        <f ca="1">EFEITO!$L$8*EFEITO!$Z$8</f>
        <v>300780.9204153319</v>
      </c>
      <c r="L8" s="55">
        <f>EFEITO!$N$8*EFEITO!$AA$8</f>
        <v>773209.66517526133</v>
      </c>
      <c r="M8" s="55">
        <f ca="1">$J$8-EFEITO!$K$8*EFEITO!$Y$8</f>
        <v>0</v>
      </c>
      <c r="N8" s="55">
        <f ca="1">$K$8-EFEITO!$M$8*EFEITO!$Z$8</f>
        <v>0</v>
      </c>
      <c r="O8" s="55">
        <f>$L$8-EFEITO!$O$8*EFEITO!$AA$8</f>
        <v>0</v>
      </c>
      <c r="P8" s="39"/>
      <c r="Q8" s="55" t="s">
        <v>458</v>
      </c>
      <c r="R8" s="55">
        <f>SUMIF($B$2:$B$170,$Q$8,$J$2:$J$170)</f>
        <v>0</v>
      </c>
      <c r="S8" s="55">
        <f>SUMIF($B$2:$B$170,$Q$8,$K$2:$K$170)</f>
        <v>0</v>
      </c>
      <c r="T8" s="55">
        <f>SUMIF($B$2:$B$170,$Q$8,$L$2:$L$170)</f>
        <v>0</v>
      </c>
      <c r="U8" s="55">
        <f>SUMIF($B$2:$B$170,$Q$8,$M$2:$M$170)</f>
        <v>0</v>
      </c>
      <c r="V8" s="55">
        <f>SUMIF($B$2:$B$170,$Q$8,$N$2:$N$170)</f>
        <v>0</v>
      </c>
      <c r="W8" s="55">
        <f>SUMIF($B$2:$B$170,$Q$8,$O$2:$O$170)</f>
        <v>0</v>
      </c>
      <c r="X8" s="36">
        <f>$R$8-$U$8</f>
        <v>0</v>
      </c>
      <c r="Y8" s="36">
        <f>$S$8-$V$8</f>
        <v>0</v>
      </c>
      <c r="Z8" s="36">
        <f>$T$8-$W$8</f>
        <v>0</v>
      </c>
      <c r="AA8" s="36">
        <f>SUMIF(EFEITO!$B$2:$B$170,$Q$8,EFEITO!$AE$2:$AE$170)</f>
        <v>0</v>
      </c>
      <c r="AB8" s="36">
        <f>SUMIF(EFEITO!$B$2:$B$170,$Q$8,EFEITO!$AF$2:$AF$170)</f>
        <v>0</v>
      </c>
      <c r="AC8" s="36">
        <f>SUMIF(EFEITO!$B$2:$B$170,$Q$8,EFEITO!$AG$2:$AH$170)</f>
        <v>0</v>
      </c>
      <c r="AD8" s="36">
        <f>SUMIF(SUBSIDIO!$B$2:$B$170,$Q$8,SUBSIDIO!$AD$2:$AD$170)</f>
        <v>0</v>
      </c>
      <c r="AE8" s="36">
        <f>SUMIF(SUBSIDIO!$B$2:$B$170,$Q$8,SUBSIDIO!$AE$2:$AE$170)</f>
        <v>0</v>
      </c>
      <c r="AF8" s="36" t="str">
        <f>IF(ABS($X$8-$AA$8)&lt;0.01,"OK","ERRO")</f>
        <v>OK</v>
      </c>
      <c r="AG8" s="36" t="str">
        <f>IF(ABS($Y$8-$AB$8)&lt;0.01,"OK","ERRO")</f>
        <v>OK</v>
      </c>
      <c r="AH8" s="36" t="str">
        <f>IF(ABS($Z$8-$AC$8)&lt;0.01,"OK","ERRO")</f>
        <v>OK</v>
      </c>
      <c r="AI8" s="36" t="str">
        <f>IF(ABS($U$8-$AD$8)&lt;0.01,"OK","ERRO")</f>
        <v>OK</v>
      </c>
      <c r="AJ8" s="36" t="str">
        <f>IF(ABS(($V$8+$W$8)-$AE$8)&lt;0.01,"OK","ERRO")</f>
        <v>OK</v>
      </c>
    </row>
    <row r="9" spans="1:40" ht="11.25" customHeight="1" x14ac:dyDescent="0.2">
      <c r="A9" s="35" t="s">
        <v>21</v>
      </c>
      <c r="B9" s="35" t="s">
        <v>33</v>
      </c>
      <c r="C9" s="35" t="s">
        <v>34</v>
      </c>
      <c r="D9" s="35" t="s">
        <v>32</v>
      </c>
      <c r="E9" s="35" t="s">
        <v>25</v>
      </c>
      <c r="F9" s="35" t="s">
        <v>25</v>
      </c>
      <c r="G9" s="35" t="s">
        <v>25</v>
      </c>
      <c r="H9" s="35" t="s">
        <v>36</v>
      </c>
      <c r="I9" s="54">
        <v>44652</v>
      </c>
      <c r="J9" s="55">
        <f ca="1">EFEITO!$J$9*EFEITO!$Y$9</f>
        <v>100200.4309920786</v>
      </c>
      <c r="K9" s="55">
        <f ca="1">EFEITO!$L$9*EFEITO!$Z$9</f>
        <v>286882.78684983152</v>
      </c>
      <c r="L9" s="55">
        <f>EFEITO!$N$9*EFEITO!$AA$9</f>
        <v>737482.0958005056</v>
      </c>
      <c r="M9" s="55">
        <f ca="1">$J$9-EFEITO!$K$9*EFEITO!$Y$9</f>
        <v>0</v>
      </c>
      <c r="N9" s="55">
        <f ca="1">$K$9-EFEITO!$M$9*EFEITO!$Z$9</f>
        <v>0</v>
      </c>
      <c r="O9" s="55">
        <f>$L$9-EFEITO!$O$9*EFEITO!$AA$9</f>
        <v>0</v>
      </c>
      <c r="P9" s="39"/>
      <c r="Q9" s="55" t="s">
        <v>22</v>
      </c>
      <c r="R9" s="55">
        <f>SUMIF($B$2:$B$170,$Q$9,$J$2:$J$170)</f>
        <v>0</v>
      </c>
      <c r="S9" s="55">
        <f ca="1">SUMIF($B$2:$B$170,$Q$9,$K$2:$K$170)</f>
        <v>831333.36324113084</v>
      </c>
      <c r="T9" s="55">
        <f>SUMIF($B$2:$B$170,$Q$9,$L$2:$L$170)</f>
        <v>714208.31454180996</v>
      </c>
      <c r="U9" s="55">
        <f>SUMIF($B$2:$B$170,$Q$9,$M$2:$M$170)</f>
        <v>0</v>
      </c>
      <c r="V9" s="55">
        <f ca="1">SUMIF($B$2:$B$170,$Q$9,$N$2:$N$170)</f>
        <v>697.65023462365002</v>
      </c>
      <c r="W9" s="55">
        <f>SUMIF($B$2:$B$170,$Q$9,$O$2:$O$170)</f>
        <v>933.26639300475495</v>
      </c>
      <c r="X9" s="36">
        <f>$R$9-$U$9</f>
        <v>0</v>
      </c>
      <c r="Y9" s="36">
        <f ca="1">$S$9-$V$9</f>
        <v>830635.71300650714</v>
      </c>
      <c r="Z9" s="36">
        <f>$T$9-$W$9</f>
        <v>713275.04814880516</v>
      </c>
      <c r="AA9" s="36">
        <f>SUMIF(EFEITO!$B$2:$B$170,$Q$9,EFEITO!$AE$2:$AE$170)</f>
        <v>0</v>
      </c>
      <c r="AB9" s="36">
        <f ca="1">SUMIF(EFEITO!$B$2:$B$170,$Q$9,EFEITO!$AF$2:$AF$170)</f>
        <v>830635.71300650691</v>
      </c>
      <c r="AC9" s="36">
        <f>SUMIF(EFEITO!$B$2:$B$170,$Q$9,EFEITO!$AG$2:$AH$170)</f>
        <v>713275.04814880504</v>
      </c>
      <c r="AD9" s="36">
        <f>SUMIF(SUBSIDIO!$B$2:$B$170,$Q$9,SUBSIDIO!$AD$2:$AD$170)</f>
        <v>0</v>
      </c>
      <c r="AE9" s="36">
        <f ca="1">SUMIF(SUBSIDIO!$B$2:$B$170,$Q$9,SUBSIDIO!$AE$2:$AE$170)</f>
        <v>1630.916627628405</v>
      </c>
      <c r="AF9" s="36" t="str">
        <f>IF(ABS($X$9-$AA$9)&lt;0.01,"OK","ERRO")</f>
        <v>OK</v>
      </c>
      <c r="AG9" s="36" t="str">
        <f ca="1">IF(ABS($Y$9-$AB$9)&lt;0.01,"OK","ERRO")</f>
        <v>OK</v>
      </c>
      <c r="AH9" s="36" t="str">
        <f>IF(ABS($Z$9-$AC$9)&lt;0.01,"OK","ERRO")</f>
        <v>OK</v>
      </c>
      <c r="AI9" s="36" t="str">
        <f>IF(ABS($U$9-$AD$9)&lt;0.01,"OK","ERRO")</f>
        <v>OK</v>
      </c>
      <c r="AJ9" s="36" t="str">
        <f ca="1">IF(ABS(($V$9+$W$9)-$AE$9)&lt;0.01,"OK","ERRO")</f>
        <v>OK</v>
      </c>
    </row>
    <row r="10" spans="1:40" ht="11.25" customHeight="1" x14ac:dyDescent="0.2">
      <c r="A10" s="35" t="s">
        <v>21</v>
      </c>
      <c r="B10" s="35" t="s">
        <v>33</v>
      </c>
      <c r="C10" s="35" t="s">
        <v>34</v>
      </c>
      <c r="D10" s="35" t="s">
        <v>32</v>
      </c>
      <c r="E10" s="35" t="s">
        <v>25</v>
      </c>
      <c r="F10" s="35" t="s">
        <v>25</v>
      </c>
      <c r="G10" s="35" t="s">
        <v>25</v>
      </c>
      <c r="H10" s="35" t="s">
        <v>36</v>
      </c>
      <c r="I10" s="54">
        <v>44682</v>
      </c>
      <c r="J10" s="55">
        <f ca="1">EFEITO!$J$10*EFEITO!$Y$10</f>
        <v>100747.57029944385</v>
      </c>
      <c r="K10" s="55">
        <f ca="1">EFEITO!$L$10*EFEITO!$Z$10</f>
        <v>283539.84336127236</v>
      </c>
      <c r="L10" s="55">
        <f>EFEITO!$N$10*EFEITO!$AA$10</f>
        <v>728888.47818699665</v>
      </c>
      <c r="M10" s="55">
        <f ca="1">$J$10-EFEITO!$K$10*EFEITO!$Y$10</f>
        <v>0</v>
      </c>
      <c r="N10" s="55">
        <f ca="1">$K$10-EFEITO!$M$10*EFEITO!$Z$10</f>
        <v>0</v>
      </c>
      <c r="O10" s="55">
        <f>$L$10-EFEITO!$O$10*EFEITO!$AA$10</f>
        <v>0</v>
      </c>
      <c r="P10" s="39"/>
      <c r="Q10" s="55" t="s">
        <v>39</v>
      </c>
      <c r="R10" s="55">
        <f>SUMIF($B$2:$B$170,$Q$10,$J$2:$J$170)</f>
        <v>0</v>
      </c>
      <c r="S10" s="55">
        <f ca="1">SUMIF($B$2:$B$170,$Q$10,$K$2:$K$170)</f>
        <v>186889.98919939241</v>
      </c>
      <c r="T10" s="55">
        <f>SUMIF($B$2:$B$170,$Q$10,$L$2:$L$170)</f>
        <v>160399.80078279693</v>
      </c>
      <c r="U10" s="55">
        <f>SUMIF($B$2:$B$170,$Q$10,$M$2:$M$170)</f>
        <v>0</v>
      </c>
      <c r="V10" s="55">
        <f ca="1">SUMIF($B$2:$B$170,$Q$10,$N$2:$N$170)</f>
        <v>11213.399351963559</v>
      </c>
      <c r="W10" s="55">
        <f>SUMIF($B$2:$B$170,$Q$10,$O$2:$O$170)</f>
        <v>9623.9880469678301</v>
      </c>
      <c r="X10" s="36">
        <f>$R$10-$U$10</f>
        <v>0</v>
      </c>
      <c r="Y10" s="36">
        <f ca="1">$S$10-$V$10</f>
        <v>175676.58984742884</v>
      </c>
      <c r="Z10" s="36">
        <f>$T$10-$W$10</f>
        <v>150775.81273582909</v>
      </c>
      <c r="AA10" s="36">
        <f>SUMIF(EFEITO!$B$2:$B$170,$Q$10,EFEITO!$AE$2:$AE$170)</f>
        <v>0</v>
      </c>
      <c r="AB10" s="36">
        <f ca="1">SUMIF(EFEITO!$B$2:$B$170,$Q$10,EFEITO!$AF$2:$AF$170)</f>
        <v>175676.58984742884</v>
      </c>
      <c r="AC10" s="36">
        <f>SUMIF(EFEITO!$B$2:$B$170,$Q$10,EFEITO!$AG$2:$AH$170)</f>
        <v>150775.81273582909</v>
      </c>
      <c r="AD10" s="36">
        <f>SUMIF(SUBSIDIO!$B$2:$B$170,$Q$10,SUBSIDIO!$AD$2:$AD$170)</f>
        <v>0</v>
      </c>
      <c r="AE10" s="36">
        <f ca="1">SUMIF(SUBSIDIO!$B$2:$B$170,$Q$10,SUBSIDIO!$AE$2:$AE$170)</f>
        <v>20837.387398931423</v>
      </c>
      <c r="AF10" s="36" t="str">
        <f>IF(ABS($X$10-$AA$10)&lt;0.01,"OK","ERRO")</f>
        <v>OK</v>
      </c>
      <c r="AG10" s="36" t="str">
        <f ca="1">IF(ABS($Y$10-$AB$10)&lt;0.01,"OK","ERRO")</f>
        <v>OK</v>
      </c>
      <c r="AH10" s="36" t="str">
        <f>IF(ABS($Z$10-$AC$10)&lt;0.01,"OK","ERRO")</f>
        <v>OK</v>
      </c>
      <c r="AI10" s="36" t="str">
        <f>IF(ABS($U$10-$AD$10)&lt;0.01,"OK","ERRO")</f>
        <v>OK</v>
      </c>
      <c r="AJ10" s="36" t="str">
        <f ca="1">IF(ABS(($V$10+$W$10)-$AE$10)&lt;0.01,"OK","ERRO")</f>
        <v>OK</v>
      </c>
    </row>
    <row r="11" spans="1:40" ht="11.25" customHeight="1" x14ac:dyDescent="0.2">
      <c r="A11" s="35" t="s">
        <v>21</v>
      </c>
      <c r="B11" s="35" t="s">
        <v>33</v>
      </c>
      <c r="C11" s="35" t="s">
        <v>34</v>
      </c>
      <c r="D11" s="35" t="s">
        <v>32</v>
      </c>
      <c r="E11" s="35" t="s">
        <v>25</v>
      </c>
      <c r="F11" s="35" t="s">
        <v>25</v>
      </c>
      <c r="G11" s="35" t="s">
        <v>25</v>
      </c>
      <c r="H11" s="35" t="s">
        <v>36</v>
      </c>
      <c r="I11" s="54">
        <v>44713</v>
      </c>
      <c r="J11" s="55">
        <f ca="1">EFEITO!$J$11*EFEITO!$Y$11</f>
        <v>101309.49715565681</v>
      </c>
      <c r="K11" s="55">
        <f ca="1">EFEITO!$L$11*EFEITO!$Z$11</f>
        <v>294834.17672211619</v>
      </c>
      <c r="L11" s="55">
        <f>EFEITO!$N$11*EFEITO!$AA$11</f>
        <v>757922.52630499913</v>
      </c>
      <c r="M11" s="55">
        <f ca="1">$J$11-EFEITO!$K$11*EFEITO!$Y$11</f>
        <v>0</v>
      </c>
      <c r="N11" s="55">
        <f ca="1">$K$11-EFEITO!$M$11*EFEITO!$Z$11</f>
        <v>0</v>
      </c>
      <c r="O11" s="55">
        <f>$L$11-EFEITO!$O$11*EFEITO!$AA$11</f>
        <v>0</v>
      </c>
      <c r="P11" s="39"/>
      <c r="Q11" s="55" t="s">
        <v>31</v>
      </c>
      <c r="R11" s="55">
        <f>SUMIF($B$2:$B$170,$Q$11,$J$2:$J$170)</f>
        <v>0</v>
      </c>
      <c r="S11" s="55">
        <f ca="1">SUMIF($B$2:$B$170,$Q$11,$K$2:$K$170)</f>
        <v>384895.31767086091</v>
      </c>
      <c r="T11" s="55">
        <f>SUMIF($B$2:$B$170,$Q$11,$L$2:$L$170)</f>
        <v>330339.42877898214</v>
      </c>
      <c r="U11" s="55">
        <f>SUMIF($B$2:$B$170,$Q$11,$M$2:$M$170)</f>
        <v>0</v>
      </c>
      <c r="V11" s="55">
        <f ca="1">SUMIF($B$2:$B$170,$Q$11,$N$2:$N$170)</f>
        <v>107.3657242986547</v>
      </c>
      <c r="W11" s="55">
        <f>SUMIF($B$2:$B$170,$Q$11,$O$2:$O$170)</f>
        <v>92.147475967968745</v>
      </c>
      <c r="X11" s="36">
        <f>$R$11-$U$11</f>
        <v>0</v>
      </c>
      <c r="Y11" s="36">
        <f ca="1">$S$11-$V$11</f>
        <v>384787.95194656227</v>
      </c>
      <c r="Z11" s="36">
        <f>$T$11-$W$11</f>
        <v>330247.2813030142</v>
      </c>
      <c r="AA11" s="36">
        <f>SUMIF(EFEITO!$B$2:$B$170,$Q$11,EFEITO!$AE$2:$AE$170)</f>
        <v>0</v>
      </c>
      <c r="AB11" s="36">
        <f ca="1">SUMIF(EFEITO!$B$2:$B$170,$Q$11,EFEITO!$AF$2:$AF$170)</f>
        <v>384787.95194656216</v>
      </c>
      <c r="AC11" s="36">
        <f>SUMIF(EFEITO!$B$2:$B$170,$Q$11,EFEITO!$AG$2:$AH$170)</f>
        <v>330247.2813030142</v>
      </c>
      <c r="AD11" s="36">
        <f>SUMIF(SUBSIDIO!$B$2:$B$170,$Q$11,SUBSIDIO!$AD$2:$AD$170)</f>
        <v>0</v>
      </c>
      <c r="AE11" s="36">
        <f ca="1">SUMIF(SUBSIDIO!$B$2:$B$170,$Q$11,SUBSIDIO!$AE$2:$AE$170)</f>
        <v>199.51320026662347</v>
      </c>
      <c r="AF11" s="36" t="str">
        <f>IF(ABS($X$11-$AA$11)&lt;0.01,"OK","ERRO")</f>
        <v>OK</v>
      </c>
      <c r="AG11" s="36" t="str">
        <f ca="1">IF(ABS($Y$11-$AB$11)&lt;0.01,"OK","ERRO")</f>
        <v>OK</v>
      </c>
      <c r="AH11" s="36" t="str">
        <f>IF(ABS($Z$11-$AC$11)&lt;0.01,"OK","ERRO")</f>
        <v>OK</v>
      </c>
      <c r="AI11" s="36" t="str">
        <f>IF(ABS($U$11-$AD$11)&lt;0.01,"OK","ERRO")</f>
        <v>OK</v>
      </c>
      <c r="AJ11" s="36" t="str">
        <f ca="1">IF(ABS(($V$11+$W$11)-$AE$11)&lt;0.01,"OK","ERRO")</f>
        <v>OK</v>
      </c>
    </row>
    <row r="12" spans="1:40" ht="11.25" customHeight="1" x14ac:dyDescent="0.2">
      <c r="A12" s="35" t="s">
        <v>21</v>
      </c>
      <c r="B12" s="35" t="s">
        <v>33</v>
      </c>
      <c r="C12" s="35" t="s">
        <v>34</v>
      </c>
      <c r="D12" s="35" t="s">
        <v>32</v>
      </c>
      <c r="E12" s="35" t="s">
        <v>25</v>
      </c>
      <c r="F12" s="35" t="s">
        <v>25</v>
      </c>
      <c r="G12" s="35" t="s">
        <v>25</v>
      </c>
      <c r="H12" s="35" t="s">
        <v>36</v>
      </c>
      <c r="I12" s="54">
        <v>44743</v>
      </c>
      <c r="J12" s="55">
        <f ca="1">EFEITO!$J$12*EFEITO!$Y$12</f>
        <v>102773.46449158003</v>
      </c>
      <c r="K12" s="55">
        <f ca="1">EFEITO!$L$12*EFEITO!$Z$12</f>
        <v>297342.78423111868</v>
      </c>
      <c r="L12" s="55">
        <f>EFEITO!$N$12*EFEITO!$AA$12</f>
        <v>764371.33818247321</v>
      </c>
      <c r="M12" s="55">
        <f ca="1">$J$12-EFEITO!$K$12*EFEITO!$Y$12</f>
        <v>0</v>
      </c>
      <c r="N12" s="55">
        <f ca="1">$K$12-EFEITO!$M$12*EFEITO!$Z$12</f>
        <v>0</v>
      </c>
      <c r="O12" s="55">
        <f>$L$12-EFEITO!$O$12*EFEITO!$AA$12</f>
        <v>0</v>
      </c>
      <c r="P12" s="39"/>
      <c r="Q12" s="55" t="s">
        <v>42</v>
      </c>
      <c r="R12" s="55">
        <f>SUMIF($B$2:$B$170,$Q$12,$J$2:$J$170)</f>
        <v>0</v>
      </c>
      <c r="S12" s="55">
        <f ca="1">SUMIF($B$2:$B$170,$Q$12,$K$2:$K$170)</f>
        <v>91790.272681504357</v>
      </c>
      <c r="T12" s="55">
        <f>SUMIF($B$2:$B$170,$Q$12,$L$2:$L$170)</f>
        <v>78779.722311417238</v>
      </c>
      <c r="U12" s="55">
        <f>SUMIF($B$2:$B$170,$Q$12,$M$2:$M$170)</f>
        <v>0</v>
      </c>
      <c r="V12" s="55">
        <f ca="1">SUMIF($B$2:$B$170,$Q$12,$N$2:$N$170)</f>
        <v>0</v>
      </c>
      <c r="W12" s="55">
        <f>SUMIF($B$2:$B$170,$Q$12,$O$2:$O$170)</f>
        <v>0</v>
      </c>
      <c r="X12" s="36">
        <f>$R$12-$U$12</f>
        <v>0</v>
      </c>
      <c r="Y12" s="36">
        <f ca="1">$S$12-$V$12</f>
        <v>91790.272681504357</v>
      </c>
      <c r="Z12" s="36">
        <f>$T$12-$W$12</f>
        <v>78779.722311417238</v>
      </c>
      <c r="AA12" s="36">
        <f>SUMIF(EFEITO!$B$2:$B$170,$Q$12,EFEITO!$AE$2:$AE$170)</f>
        <v>0</v>
      </c>
      <c r="AB12" s="36">
        <f ca="1">SUMIF(EFEITO!$B$2:$B$170,$Q$12,EFEITO!$AF$2:$AF$170)</f>
        <v>91790.272681504357</v>
      </c>
      <c r="AC12" s="36">
        <f>SUMIF(EFEITO!$B$2:$B$170,$Q$12,EFEITO!$AG$2:$AH$170)</f>
        <v>78779.722311417238</v>
      </c>
      <c r="AD12" s="36">
        <f>SUMIF(SUBSIDIO!$B$2:$B$170,$Q$12,SUBSIDIO!$AD$2:$AD$170)</f>
        <v>0</v>
      </c>
      <c r="AE12" s="36">
        <f>SUMIF(SUBSIDIO!$B$2:$B$170,$Q$12,SUBSIDIO!$AE$2:$AE$170)</f>
        <v>0</v>
      </c>
      <c r="AF12" s="36" t="str">
        <f>IF(ABS($X$12-$AA$12)&lt;0.01,"OK","ERRO")</f>
        <v>OK</v>
      </c>
      <c r="AG12" s="36" t="str">
        <f ca="1">IF(ABS($Y$12-$AB$12)&lt;0.01,"OK","ERRO")</f>
        <v>OK</v>
      </c>
      <c r="AH12" s="36" t="str">
        <f>IF(ABS($Z$12-$AC$12)&lt;0.01,"OK","ERRO")</f>
        <v>OK</v>
      </c>
      <c r="AI12" s="36" t="str">
        <f>IF(ABS($U$12-$AD$12)&lt;0.01,"OK","ERRO")</f>
        <v>OK</v>
      </c>
      <c r="AJ12" s="36" t="str">
        <f ca="1">IF(ABS(($V$12+$W$12)-$AE$12)&lt;0.01,"OK","ERRO")</f>
        <v>OK</v>
      </c>
    </row>
    <row r="13" spans="1:40" ht="11.25" customHeight="1" x14ac:dyDescent="0.2">
      <c r="A13" s="35" t="s">
        <v>21</v>
      </c>
      <c r="B13" s="35" t="s">
        <v>33</v>
      </c>
      <c r="C13" s="35" t="s">
        <v>34</v>
      </c>
      <c r="D13" s="35" t="s">
        <v>32</v>
      </c>
      <c r="E13" s="35" t="s">
        <v>25</v>
      </c>
      <c r="F13" s="35" t="s">
        <v>25</v>
      </c>
      <c r="G13" s="35" t="s">
        <v>25</v>
      </c>
      <c r="H13" s="35" t="s">
        <v>36</v>
      </c>
      <c r="I13" s="54">
        <v>44774</v>
      </c>
      <c r="J13" s="55">
        <f ca="1">EFEITO!$J$13*EFEITO!$Y$13</f>
        <v>101782.6987187835</v>
      </c>
      <c r="K13" s="55">
        <f ca="1">EFEITO!$L$13*EFEITO!$Z$13</f>
        <v>335767.03585338447</v>
      </c>
      <c r="L13" s="55">
        <f>EFEITO!$N$13*EFEITO!$AA$13</f>
        <v>863147.55939503293</v>
      </c>
      <c r="M13" s="55">
        <f ca="1">$J$13-EFEITO!$K$13*EFEITO!$Y$13</f>
        <v>0</v>
      </c>
      <c r="N13" s="55">
        <f ca="1">$K$13-EFEITO!$M$13*EFEITO!$Z$13</f>
        <v>0</v>
      </c>
      <c r="O13" s="55">
        <f>$L$13-EFEITO!$O$13*EFEITO!$AA$13</f>
        <v>0</v>
      </c>
      <c r="P13" s="39"/>
      <c r="Q13" s="55" t="s">
        <v>72</v>
      </c>
      <c r="R13" s="55">
        <f>SUMIF($B$2:$B$170,$Q$13,$J$2:$J$170)</f>
        <v>0</v>
      </c>
      <c r="S13" s="55">
        <f>SUMIF($B$2:$B$170,$Q$13,$K$2:$K$170)</f>
        <v>0</v>
      </c>
      <c r="T13" s="55">
        <f>SUMIF($B$2:$B$170,$Q$13,$L$2:$L$170)</f>
        <v>0</v>
      </c>
      <c r="U13" s="55">
        <f>SUMIF($B$2:$B$170,$Q$13,$M$2:$M$170)</f>
        <v>0</v>
      </c>
      <c r="V13" s="55">
        <f>SUMIF($B$2:$B$170,$Q$13,$N$2:$N$170)</f>
        <v>0</v>
      </c>
      <c r="W13" s="55">
        <f>SUMIF($B$2:$B$170,$Q$13,$O$2:$O$170)</f>
        <v>0</v>
      </c>
      <c r="X13" s="36">
        <f>$R$13-$U$13</f>
        <v>0</v>
      </c>
      <c r="Y13" s="36">
        <f>$S$13-$V$13</f>
        <v>0</v>
      </c>
      <c r="Z13" s="36">
        <f>$T$13-$W$13</f>
        <v>0</v>
      </c>
      <c r="AA13" s="36">
        <f>SUMIF(EFEITO!$B$2:$B$170,$Q$13,EFEITO!$AE$2:$AE$170)</f>
        <v>0</v>
      </c>
      <c r="AB13" s="36">
        <f>SUMIF(EFEITO!$B$2:$B$170,$Q$13,EFEITO!$AF$2:$AF$170)</f>
        <v>0</v>
      </c>
      <c r="AC13" s="36">
        <f>SUMIF(EFEITO!$B$2:$B$170,$Q$13,EFEITO!$AG$2:$AH$170)</f>
        <v>0</v>
      </c>
      <c r="AD13" s="36">
        <f>SUMIF(SUBSIDIO!$B$2:$B$170,$Q$13,SUBSIDIO!$AD$2:$AD$170)</f>
        <v>0</v>
      </c>
      <c r="AE13" s="36">
        <f>SUMIF(SUBSIDIO!$B$2:$B$170,$Q$13,SUBSIDIO!$AE$2:$AE$170)</f>
        <v>0</v>
      </c>
      <c r="AF13" s="36" t="str">
        <f>IF(ABS($X$13-$AA$13)&lt;0.01,"OK","ERRO")</f>
        <v>OK</v>
      </c>
      <c r="AG13" s="36" t="str">
        <f>IF(ABS($Y$13-$AB$13)&lt;0.01,"OK","ERRO")</f>
        <v>OK</v>
      </c>
      <c r="AH13" s="36" t="str">
        <f>IF(ABS($Z$13-$AC$13)&lt;0.01,"OK","ERRO")</f>
        <v>OK</v>
      </c>
      <c r="AI13" s="36" t="str">
        <f>IF(ABS($U$13-$AD$13)&lt;0.01,"OK","ERRO")</f>
        <v>OK</v>
      </c>
      <c r="AJ13" s="36" t="str">
        <f>IF(ABS(($V$13+$W$13)-$AE$13)&lt;0.01,"OK","ERRO")</f>
        <v>OK</v>
      </c>
    </row>
    <row r="14" spans="1:40" ht="11.25" customHeight="1" x14ac:dyDescent="0.2">
      <c r="A14" s="35" t="s">
        <v>21</v>
      </c>
      <c r="B14" s="35" t="s">
        <v>33</v>
      </c>
      <c r="C14" s="35" t="s">
        <v>34</v>
      </c>
      <c r="D14" s="35" t="s">
        <v>32</v>
      </c>
      <c r="E14" s="35" t="s">
        <v>25</v>
      </c>
      <c r="F14" s="35" t="s">
        <v>25</v>
      </c>
      <c r="G14" s="35" t="s">
        <v>25</v>
      </c>
      <c r="H14" s="35" t="s">
        <v>35</v>
      </c>
      <c r="I14" s="54">
        <v>44440</v>
      </c>
      <c r="J14" s="55">
        <f ca="1">EFEITO!$J$14*EFEITO!$Y$14</f>
        <v>248294.24214460657</v>
      </c>
      <c r="K14" s="55">
        <f ca="1">EFEITO!$L$14*EFEITO!$Z$14</f>
        <v>27488.290762708079</v>
      </c>
      <c r="L14" s="55">
        <f>EFEITO!$N$14*EFEITO!$AA$14</f>
        <v>70663.431934196371</v>
      </c>
      <c r="M14" s="55">
        <f ca="1">$J$14-EFEITO!$K$14*EFEITO!$Y$14</f>
        <v>0</v>
      </c>
      <c r="N14" s="55">
        <f ca="1">$K$14-EFEITO!$M$14*EFEITO!$Z$14</f>
        <v>0</v>
      </c>
      <c r="O14" s="55">
        <f>$L$14-EFEITO!$O$14*EFEITO!$AA$14</f>
        <v>0</v>
      </c>
      <c r="P14" s="39"/>
      <c r="Q14" s="39"/>
      <c r="R14" s="39"/>
      <c r="S14" s="39"/>
      <c r="T14" s="39"/>
      <c r="U14" s="39"/>
      <c r="V14" s="39"/>
      <c r="W14" s="39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40" ht="11.25" customHeight="1" x14ac:dyDescent="0.2">
      <c r="A15" s="35" t="s">
        <v>21</v>
      </c>
      <c r="B15" s="35" t="s">
        <v>33</v>
      </c>
      <c r="C15" s="35" t="s">
        <v>34</v>
      </c>
      <c r="D15" s="35" t="s">
        <v>32</v>
      </c>
      <c r="E15" s="35" t="s">
        <v>25</v>
      </c>
      <c r="F15" s="35" t="s">
        <v>25</v>
      </c>
      <c r="G15" s="35" t="s">
        <v>25</v>
      </c>
      <c r="H15" s="35" t="s">
        <v>35</v>
      </c>
      <c r="I15" s="54">
        <v>44470</v>
      </c>
      <c r="J15" s="55">
        <f ca="1">EFEITO!$J$15*EFEITO!$Y$15</f>
        <v>245428.99371893521</v>
      </c>
      <c r="K15" s="55">
        <f ca="1">EFEITO!$L$15*EFEITO!$Z$15</f>
        <v>29011.373893173874</v>
      </c>
      <c r="L15" s="55">
        <f>EFEITO!$N$15*EFEITO!$AA$15</f>
        <v>74578.782002662731</v>
      </c>
      <c r="M15" s="55">
        <f ca="1">$J$15-EFEITO!$K$15*EFEITO!$Y$15</f>
        <v>0</v>
      </c>
      <c r="N15" s="55">
        <f ca="1">$K$15-EFEITO!$M$15*EFEITO!$Z$15</f>
        <v>0</v>
      </c>
      <c r="O15" s="55">
        <f>$L$15-EFEITO!$O$15*EFEITO!$AA$15</f>
        <v>0</v>
      </c>
      <c r="P15" s="39"/>
      <c r="Q15" s="39"/>
      <c r="R15" s="39"/>
      <c r="S15" s="39"/>
      <c r="T15" s="39"/>
      <c r="U15" s="39"/>
      <c r="V15" s="39"/>
      <c r="W15" s="39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40" ht="11.25" customHeight="1" x14ac:dyDescent="0.2">
      <c r="A16" s="35" t="s">
        <v>21</v>
      </c>
      <c r="B16" s="35" t="s">
        <v>33</v>
      </c>
      <c r="C16" s="35" t="s">
        <v>34</v>
      </c>
      <c r="D16" s="35" t="s">
        <v>32</v>
      </c>
      <c r="E16" s="35" t="s">
        <v>25</v>
      </c>
      <c r="F16" s="35" t="s">
        <v>25</v>
      </c>
      <c r="G16" s="35" t="s">
        <v>25</v>
      </c>
      <c r="H16" s="35" t="s">
        <v>35</v>
      </c>
      <c r="I16" s="54">
        <v>44501</v>
      </c>
      <c r="J16" s="55">
        <f ca="1">EFEITO!$J$16*EFEITO!$Y$16</f>
        <v>249808.73059817572</v>
      </c>
      <c r="K16" s="55">
        <f ca="1">EFEITO!$L$16*EFEITO!$Z$16</f>
        <v>28725.795806211536</v>
      </c>
      <c r="L16" s="55">
        <f>EFEITO!$N$16*EFEITO!$AA$16</f>
        <v>73844.65386482529</v>
      </c>
      <c r="M16" s="55">
        <f ca="1">$J$16-EFEITO!$K$16*EFEITO!$Y$16</f>
        <v>0</v>
      </c>
      <c r="N16" s="55">
        <f ca="1">$K$16-EFEITO!$M$16*EFEITO!$Z$16</f>
        <v>0</v>
      </c>
      <c r="O16" s="55">
        <f>$L$16-EFEITO!$O$16*EFEITO!$AA$16</f>
        <v>0</v>
      </c>
      <c r="P16" s="39"/>
      <c r="Q16" s="39"/>
      <c r="R16" s="39"/>
      <c r="S16" s="39"/>
      <c r="T16" s="39"/>
      <c r="U16" s="39"/>
      <c r="V16" s="39"/>
      <c r="W16" s="39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1.25" customHeight="1" x14ac:dyDescent="0.2">
      <c r="A17" s="35" t="s">
        <v>21</v>
      </c>
      <c r="B17" s="35" t="s">
        <v>33</v>
      </c>
      <c r="C17" s="35" t="s">
        <v>34</v>
      </c>
      <c r="D17" s="35" t="s">
        <v>32</v>
      </c>
      <c r="E17" s="35" t="s">
        <v>25</v>
      </c>
      <c r="F17" s="35" t="s">
        <v>25</v>
      </c>
      <c r="G17" s="35" t="s">
        <v>25</v>
      </c>
      <c r="H17" s="35" t="s">
        <v>35</v>
      </c>
      <c r="I17" s="54">
        <v>44531</v>
      </c>
      <c r="J17" s="55">
        <f ca="1">EFEITO!$J$17*EFEITO!$Y$17</f>
        <v>247966.78518167269</v>
      </c>
      <c r="K17" s="55">
        <f ca="1">EFEITO!$L$17*EFEITO!$Z$17</f>
        <v>29330.549402131775</v>
      </c>
      <c r="L17" s="55">
        <f>EFEITO!$N$17*EFEITO!$AA$17</f>
        <v>75399.278156716333</v>
      </c>
      <c r="M17" s="55">
        <f ca="1">$J$17-EFEITO!$K$17*EFEITO!$Y$17</f>
        <v>0</v>
      </c>
      <c r="N17" s="55">
        <f ca="1">$K$17-EFEITO!$M$17*EFEITO!$Z$17</f>
        <v>0</v>
      </c>
      <c r="O17" s="55">
        <f>$L$17-EFEITO!$O$17*EFEITO!$AA$17</f>
        <v>0</v>
      </c>
      <c r="P17" s="39"/>
      <c r="Q17" s="39"/>
      <c r="R17" s="39"/>
      <c r="S17" s="39"/>
      <c r="T17" s="39"/>
      <c r="U17" s="39"/>
      <c r="V17" s="39"/>
      <c r="W17" s="39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1.25" customHeight="1" x14ac:dyDescent="0.2">
      <c r="A18" s="35" t="s">
        <v>21</v>
      </c>
      <c r="B18" s="35" t="s">
        <v>33</v>
      </c>
      <c r="C18" s="35" t="s">
        <v>34</v>
      </c>
      <c r="D18" s="35" t="s">
        <v>32</v>
      </c>
      <c r="E18" s="35" t="s">
        <v>25</v>
      </c>
      <c r="F18" s="35" t="s">
        <v>25</v>
      </c>
      <c r="G18" s="35" t="s">
        <v>25</v>
      </c>
      <c r="H18" s="35" t="s">
        <v>35</v>
      </c>
      <c r="I18" s="54">
        <v>44562</v>
      </c>
      <c r="J18" s="55">
        <f ca="1">EFEITO!$J$18*EFEITO!$Y$18</f>
        <v>258036.08679188919</v>
      </c>
      <c r="K18" s="55">
        <f ca="1">EFEITO!$L$18*EFEITO!$Z$18</f>
        <v>19352.115069447773</v>
      </c>
      <c r="L18" s="55">
        <f>EFEITO!$N$18*EFEITO!$AA$18</f>
        <v>49747.977340513884</v>
      </c>
      <c r="M18" s="55">
        <f ca="1">$J$18-EFEITO!$K$18*EFEITO!$Y$18</f>
        <v>0</v>
      </c>
      <c r="N18" s="55">
        <f ca="1">$K$18-EFEITO!$M$18*EFEITO!$Z$18</f>
        <v>0</v>
      </c>
      <c r="O18" s="55">
        <f>$L$18-EFEITO!$O$18*EFEITO!$AA$18</f>
        <v>0</v>
      </c>
      <c r="P18" s="39"/>
      <c r="Q18" s="39"/>
      <c r="R18" s="39"/>
      <c r="S18" s="39"/>
      <c r="T18" s="39"/>
      <c r="U18" s="39"/>
      <c r="V18" s="39"/>
      <c r="W18" s="39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1.25" customHeight="1" x14ac:dyDescent="0.2">
      <c r="A19" s="35" t="s">
        <v>21</v>
      </c>
      <c r="B19" s="35" t="s">
        <v>33</v>
      </c>
      <c r="C19" s="35" t="s">
        <v>34</v>
      </c>
      <c r="D19" s="35" t="s">
        <v>32</v>
      </c>
      <c r="E19" s="35" t="s">
        <v>25</v>
      </c>
      <c r="F19" s="35" t="s">
        <v>25</v>
      </c>
      <c r="G19" s="35" t="s">
        <v>25</v>
      </c>
      <c r="H19" s="35" t="s">
        <v>35</v>
      </c>
      <c r="I19" s="54">
        <v>44593</v>
      </c>
      <c r="J19" s="55">
        <f ca="1">EFEITO!$J$19*EFEITO!$Y$19</f>
        <v>257258.37650492124</v>
      </c>
      <c r="K19" s="55">
        <f ca="1">EFEITO!$L$19*EFEITO!$Z$19</f>
        <v>27365.10021539099</v>
      </c>
      <c r="L19" s="55">
        <f>EFEITO!$N$19*EFEITO!$AA$19</f>
        <v>70346.749208070411</v>
      </c>
      <c r="M19" s="55">
        <f ca="1">$J$19-EFEITO!$K$19*EFEITO!$Y$19</f>
        <v>0</v>
      </c>
      <c r="N19" s="55">
        <f ca="1">$K$19-EFEITO!$M$19*EFEITO!$Z$19</f>
        <v>0</v>
      </c>
      <c r="O19" s="55">
        <f>$L$19-EFEITO!$O$19*EFEITO!$AA$19</f>
        <v>0</v>
      </c>
      <c r="P19" s="39"/>
      <c r="Q19" s="39"/>
      <c r="R19" s="39"/>
      <c r="S19" s="39"/>
      <c r="T19" s="39"/>
      <c r="U19" s="39"/>
      <c r="V19" s="39"/>
      <c r="W19" s="39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1.25" customHeight="1" x14ac:dyDescent="0.2">
      <c r="A20" s="35" t="s">
        <v>21</v>
      </c>
      <c r="B20" s="35" t="s">
        <v>33</v>
      </c>
      <c r="C20" s="35" t="s">
        <v>34</v>
      </c>
      <c r="D20" s="35" t="s">
        <v>32</v>
      </c>
      <c r="E20" s="35" t="s">
        <v>25</v>
      </c>
      <c r="F20" s="35" t="s">
        <v>25</v>
      </c>
      <c r="G20" s="35" t="s">
        <v>25</v>
      </c>
      <c r="H20" s="35" t="s">
        <v>35</v>
      </c>
      <c r="I20" s="54">
        <v>44621</v>
      </c>
      <c r="J20" s="55">
        <f ca="1">EFEITO!$J$20*EFEITO!$Y$20</f>
        <v>256153.20925501944</v>
      </c>
      <c r="K20" s="55">
        <f ca="1">EFEITO!$L$20*EFEITO!$Z$20</f>
        <v>30736.041555613079</v>
      </c>
      <c r="L20" s="55">
        <f>EFEITO!$N$20*EFEITO!$AA$20</f>
        <v>79012.340168426119</v>
      </c>
      <c r="M20" s="55">
        <f ca="1">$J$20-EFEITO!$K$20*EFEITO!$Y$20</f>
        <v>0</v>
      </c>
      <c r="N20" s="55">
        <f ca="1">$K$20-EFEITO!$M$20*EFEITO!$Z$20</f>
        <v>0</v>
      </c>
      <c r="O20" s="55">
        <f>$L$20-EFEITO!$O$20*EFEITO!$AA$20</f>
        <v>0</v>
      </c>
      <c r="P20" s="39"/>
      <c r="Q20" s="39"/>
      <c r="R20" s="39"/>
      <c r="S20" s="39"/>
      <c r="T20" s="39"/>
      <c r="U20" s="39"/>
      <c r="V20" s="39"/>
      <c r="W20" s="39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1.25" customHeight="1" x14ac:dyDescent="0.2">
      <c r="A21" s="35" t="s">
        <v>21</v>
      </c>
      <c r="B21" s="35" t="s">
        <v>33</v>
      </c>
      <c r="C21" s="35" t="s">
        <v>34</v>
      </c>
      <c r="D21" s="35" t="s">
        <v>32</v>
      </c>
      <c r="E21" s="35" t="s">
        <v>25</v>
      </c>
      <c r="F21" s="35" t="s">
        <v>25</v>
      </c>
      <c r="G21" s="35" t="s">
        <v>25</v>
      </c>
      <c r="H21" s="35" t="s">
        <v>35</v>
      </c>
      <c r="I21" s="54">
        <v>44652</v>
      </c>
      <c r="J21" s="55">
        <f ca="1">EFEITO!$J$21*EFEITO!$Y$21</f>
        <v>254393.1280792499</v>
      </c>
      <c r="K21" s="55">
        <f ca="1">EFEITO!$L$21*EFEITO!$Z$21</f>
        <v>26967.530721776755</v>
      </c>
      <c r="L21" s="55">
        <f>EFEITO!$N$21*EFEITO!$AA$21</f>
        <v>69324.727682845725</v>
      </c>
      <c r="M21" s="55">
        <f ca="1">$J$21-EFEITO!$K$21*EFEITO!$Y$21</f>
        <v>0</v>
      </c>
      <c r="N21" s="55">
        <f ca="1">$K$21-EFEITO!$M$21*EFEITO!$Z$21</f>
        <v>0</v>
      </c>
      <c r="O21" s="55">
        <f>$L$21-EFEITO!$O$21*EFEITO!$AA$21</f>
        <v>0</v>
      </c>
      <c r="P21" s="39"/>
      <c r="Q21" s="39"/>
      <c r="R21" s="39"/>
      <c r="S21" s="39"/>
      <c r="T21" s="39"/>
      <c r="U21" s="39"/>
      <c r="V21" s="39"/>
      <c r="W21" s="39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1.25" customHeight="1" x14ac:dyDescent="0.2">
      <c r="A22" s="35" t="s">
        <v>21</v>
      </c>
      <c r="B22" s="35" t="s">
        <v>33</v>
      </c>
      <c r="C22" s="35" t="s">
        <v>34</v>
      </c>
      <c r="D22" s="35" t="s">
        <v>32</v>
      </c>
      <c r="E22" s="35" t="s">
        <v>25</v>
      </c>
      <c r="F22" s="35" t="s">
        <v>25</v>
      </c>
      <c r="G22" s="35" t="s">
        <v>25</v>
      </c>
      <c r="H22" s="35" t="s">
        <v>35</v>
      </c>
      <c r="I22" s="54">
        <v>44682</v>
      </c>
      <c r="J22" s="55">
        <f ca="1">EFEITO!$J$22*EFEITO!$Y$22</f>
        <v>256644.39469942026</v>
      </c>
      <c r="K22" s="55">
        <f ca="1">EFEITO!$L$22*EFEITO!$Z$22</f>
        <v>27516.288614371046</v>
      </c>
      <c r="L22" s="55">
        <f>EFEITO!$N$22*EFEITO!$AA$22</f>
        <v>70735.40528104316</v>
      </c>
      <c r="M22" s="55">
        <f ca="1">$J$22-EFEITO!$K$22*EFEITO!$Y$22</f>
        <v>0</v>
      </c>
      <c r="N22" s="55">
        <f ca="1">$K$22-EFEITO!$M$22*EFEITO!$Z$22</f>
        <v>0</v>
      </c>
      <c r="O22" s="55">
        <f>$L$22-EFEITO!$O$22*EFEITO!$AA$22</f>
        <v>0</v>
      </c>
      <c r="P22" s="39"/>
      <c r="Q22" s="39"/>
      <c r="R22" s="39"/>
      <c r="S22" s="39"/>
      <c r="T22" s="39"/>
      <c r="U22" s="39"/>
      <c r="V22" s="39"/>
      <c r="W22" s="39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1.25" customHeight="1" x14ac:dyDescent="0.2">
      <c r="A23" s="35" t="s">
        <v>21</v>
      </c>
      <c r="B23" s="35" t="s">
        <v>33</v>
      </c>
      <c r="C23" s="35" t="s">
        <v>34</v>
      </c>
      <c r="D23" s="35" t="s">
        <v>32</v>
      </c>
      <c r="E23" s="35" t="s">
        <v>25</v>
      </c>
      <c r="F23" s="35" t="s">
        <v>25</v>
      </c>
      <c r="G23" s="35" t="s">
        <v>25</v>
      </c>
      <c r="H23" s="35" t="s">
        <v>35</v>
      </c>
      <c r="I23" s="54">
        <v>44713</v>
      </c>
      <c r="J23" s="55">
        <f ca="1">EFEITO!$J$23*EFEITO!$Y$23</f>
        <v>256071.34501428597</v>
      </c>
      <c r="K23" s="55">
        <f ca="1">EFEITO!$L$23*EFEITO!$Z$23</f>
        <v>31715.966363817177</v>
      </c>
      <c r="L23" s="55">
        <f>EFEITO!$N$23*EFEITO!$AA$23</f>
        <v>81531.407308064401</v>
      </c>
      <c r="M23" s="55">
        <f ca="1">$J$23-EFEITO!$K$23*EFEITO!$Y$23</f>
        <v>0</v>
      </c>
      <c r="N23" s="55">
        <f ca="1">$K$23-EFEITO!$M$23*EFEITO!$Z$23</f>
        <v>0</v>
      </c>
      <c r="O23" s="55">
        <f>$L$23-EFEITO!$O$23*EFEITO!$AA$23</f>
        <v>0</v>
      </c>
      <c r="P23" s="39"/>
      <c r="Q23" s="39"/>
      <c r="R23" s="39"/>
      <c r="S23" s="39"/>
      <c r="T23" s="39"/>
      <c r="U23" s="39"/>
      <c r="V23" s="39"/>
      <c r="W23" s="39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1.25" customHeight="1" x14ac:dyDescent="0.2">
      <c r="A24" s="35" t="s">
        <v>21</v>
      </c>
      <c r="B24" s="35" t="s">
        <v>33</v>
      </c>
      <c r="C24" s="35" t="s">
        <v>34</v>
      </c>
      <c r="D24" s="35" t="s">
        <v>32</v>
      </c>
      <c r="E24" s="35" t="s">
        <v>25</v>
      </c>
      <c r="F24" s="35" t="s">
        <v>25</v>
      </c>
      <c r="G24" s="35" t="s">
        <v>25</v>
      </c>
      <c r="H24" s="35" t="s">
        <v>35</v>
      </c>
      <c r="I24" s="54">
        <v>44743</v>
      </c>
      <c r="J24" s="55">
        <f ca="1">EFEITO!$J$24*EFEITO!$Y$24</f>
        <v>262293.02731002949</v>
      </c>
      <c r="K24" s="55">
        <f ca="1">EFEITO!$L$24*EFEITO!$Z$24</f>
        <v>30864.831673262768</v>
      </c>
      <c r="L24" s="55">
        <f>EFEITO!$N$24*EFEITO!$AA$24</f>
        <v>79343.417563921452</v>
      </c>
      <c r="M24" s="55">
        <f ca="1">$J$24-EFEITO!$K$24*EFEITO!$Y$24</f>
        <v>0</v>
      </c>
      <c r="N24" s="55">
        <f ca="1">$K$24-EFEITO!$M$24*EFEITO!$Z$24</f>
        <v>0</v>
      </c>
      <c r="O24" s="55">
        <f>$L$24-EFEITO!$O$24*EFEITO!$AA$24</f>
        <v>0</v>
      </c>
      <c r="P24" s="39"/>
      <c r="Q24" s="39"/>
      <c r="R24" s="39"/>
      <c r="S24" s="39"/>
      <c r="T24" s="39"/>
      <c r="U24" s="39"/>
      <c r="V24" s="39"/>
      <c r="W24" s="39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1.25" customHeight="1" x14ac:dyDescent="0.2">
      <c r="A25" s="35" t="s">
        <v>21</v>
      </c>
      <c r="B25" s="35" t="s">
        <v>33</v>
      </c>
      <c r="C25" s="35" t="s">
        <v>34</v>
      </c>
      <c r="D25" s="35" t="s">
        <v>32</v>
      </c>
      <c r="E25" s="35" t="s">
        <v>25</v>
      </c>
      <c r="F25" s="35" t="s">
        <v>25</v>
      </c>
      <c r="G25" s="35" t="s">
        <v>25</v>
      </c>
      <c r="H25" s="35" t="s">
        <v>35</v>
      </c>
      <c r="I25" s="54">
        <v>44774</v>
      </c>
      <c r="J25" s="55">
        <f ca="1">EFEITO!$J$25*EFEITO!$Y$25</f>
        <v>261801.8418656287</v>
      </c>
      <c r="K25" s="55">
        <f ca="1">EFEITO!$L$25*EFEITO!$Z$25</f>
        <v>31928.750036455785</v>
      </c>
      <c r="L25" s="55">
        <f>EFEITO!$N$25*EFEITO!$AA$25</f>
        <v>82078.40474410016</v>
      </c>
      <c r="M25" s="55">
        <f ca="1">$J$25-EFEITO!$K$25*EFEITO!$Y$25</f>
        <v>0</v>
      </c>
      <c r="N25" s="55">
        <f ca="1">$K$25-EFEITO!$M$25*EFEITO!$Z$25</f>
        <v>0</v>
      </c>
      <c r="O25" s="55">
        <f>$L$25-EFEITO!$O$25*EFEITO!$AA$25</f>
        <v>0</v>
      </c>
      <c r="P25" s="39"/>
      <c r="Q25" s="39"/>
      <c r="R25" s="39"/>
      <c r="S25" s="39"/>
      <c r="T25" s="39"/>
      <c r="U25" s="39"/>
      <c r="V25" s="39"/>
      <c r="W25" s="39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1.25" customHeight="1" x14ac:dyDescent="0.2">
      <c r="A26" s="35" t="s">
        <v>21</v>
      </c>
      <c r="B26" s="35" t="s">
        <v>33</v>
      </c>
      <c r="C26" s="35" t="s">
        <v>37</v>
      </c>
      <c r="D26" s="35" t="s">
        <v>32</v>
      </c>
      <c r="E26" s="35" t="s">
        <v>25</v>
      </c>
      <c r="F26" s="35" t="s">
        <v>25</v>
      </c>
      <c r="G26" s="35" t="s">
        <v>25</v>
      </c>
      <c r="H26" s="35" t="s">
        <v>36</v>
      </c>
      <c r="I26" s="54">
        <v>44440</v>
      </c>
      <c r="J26" s="55">
        <f>EFEITO!$J$26*EFEITO!$Y$26</f>
        <v>0</v>
      </c>
      <c r="K26" s="55">
        <f ca="1">EFEITO!$L$26*EFEITO!$Z$26</f>
        <v>74066.356724781857</v>
      </c>
      <c r="L26" s="55">
        <f>EFEITO!$N$26*EFEITO!$AA$26</f>
        <v>190400.450948952</v>
      </c>
      <c r="M26" s="55">
        <f>$J$26-EFEITO!$K$26*EFEITO!$Y$26</f>
        <v>0</v>
      </c>
      <c r="N26" s="55">
        <f ca="1">$K$26-EFEITO!$M$26*EFEITO!$Z$26</f>
        <v>0</v>
      </c>
      <c r="O26" s="55">
        <f>$L$26-EFEITO!$O$26*EFEITO!$AA$26</f>
        <v>0</v>
      </c>
      <c r="P26" s="39"/>
      <c r="Q26" s="39"/>
      <c r="R26" s="39"/>
      <c r="S26" s="39"/>
      <c r="T26" s="39"/>
      <c r="U26" s="39"/>
      <c r="V26" s="39"/>
      <c r="W26" s="39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1.25" customHeight="1" x14ac:dyDescent="0.2">
      <c r="A27" s="35" t="s">
        <v>21</v>
      </c>
      <c r="B27" s="35" t="s">
        <v>33</v>
      </c>
      <c r="C27" s="35" t="s">
        <v>37</v>
      </c>
      <c r="D27" s="35" t="s">
        <v>32</v>
      </c>
      <c r="E27" s="35" t="s">
        <v>25</v>
      </c>
      <c r="F27" s="35" t="s">
        <v>25</v>
      </c>
      <c r="G27" s="35" t="s">
        <v>25</v>
      </c>
      <c r="H27" s="35" t="s">
        <v>36</v>
      </c>
      <c r="I27" s="54">
        <v>44470</v>
      </c>
      <c r="J27" s="55">
        <f>EFEITO!$J$27*EFEITO!$Y$27</f>
        <v>0</v>
      </c>
      <c r="K27" s="55">
        <f ca="1">EFEITO!$L$27*EFEITO!$Z$27</f>
        <v>78326.509833820019</v>
      </c>
      <c r="L27" s="55">
        <f>EFEITO!$N$27*EFEITO!$AA$27</f>
        <v>201351.91540516238</v>
      </c>
      <c r="M27" s="55">
        <f>$J$27-EFEITO!$K$27*EFEITO!$Y$27</f>
        <v>0</v>
      </c>
      <c r="N27" s="55">
        <f ca="1">$K$27-EFEITO!$M$27*EFEITO!$Z$27</f>
        <v>0</v>
      </c>
      <c r="O27" s="55">
        <f>$L$27-EFEITO!$O$27*EFEITO!$AA$27</f>
        <v>0</v>
      </c>
      <c r="P27" s="39"/>
      <c r="Q27" s="39"/>
      <c r="R27" s="39"/>
      <c r="S27" s="39"/>
      <c r="T27" s="39"/>
      <c r="U27" s="39"/>
      <c r="V27" s="39"/>
      <c r="W27" s="3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1.25" customHeight="1" x14ac:dyDescent="0.2">
      <c r="A28" s="35" t="s">
        <v>21</v>
      </c>
      <c r="B28" s="35" t="s">
        <v>33</v>
      </c>
      <c r="C28" s="35" t="s">
        <v>37</v>
      </c>
      <c r="D28" s="35" t="s">
        <v>32</v>
      </c>
      <c r="E28" s="35" t="s">
        <v>25</v>
      </c>
      <c r="F28" s="35" t="s">
        <v>25</v>
      </c>
      <c r="G28" s="35" t="s">
        <v>25</v>
      </c>
      <c r="H28" s="35" t="s">
        <v>36</v>
      </c>
      <c r="I28" s="54">
        <v>44501</v>
      </c>
      <c r="J28" s="55">
        <f>EFEITO!$J$28*EFEITO!$Y$28</f>
        <v>0</v>
      </c>
      <c r="K28" s="55">
        <f ca="1">EFEITO!$L$28*EFEITO!$Z$28</f>
        <v>75916.268110326768</v>
      </c>
      <c r="L28" s="55">
        <f>EFEITO!$N$28*EFEITO!$AA$28</f>
        <v>195155.96988627678</v>
      </c>
      <c r="M28" s="55">
        <f>$J$28-EFEITO!$K$28*EFEITO!$Y$28</f>
        <v>0</v>
      </c>
      <c r="N28" s="55">
        <f ca="1">$K$28-EFEITO!$M$28*EFEITO!$Z$28</f>
        <v>0</v>
      </c>
      <c r="O28" s="55">
        <f>$L$28-EFEITO!$O$28*EFEITO!$AA$28</f>
        <v>0</v>
      </c>
      <c r="P28" s="39"/>
      <c r="Q28" s="39"/>
      <c r="R28" s="39"/>
      <c r="S28" s="39"/>
      <c r="T28" s="39"/>
      <c r="U28" s="39"/>
      <c r="V28" s="39"/>
      <c r="W28" s="39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1.25" customHeight="1" x14ac:dyDescent="0.2">
      <c r="A29" s="35" t="s">
        <v>21</v>
      </c>
      <c r="B29" s="35" t="s">
        <v>33</v>
      </c>
      <c r="C29" s="35" t="s">
        <v>37</v>
      </c>
      <c r="D29" s="35" t="s">
        <v>32</v>
      </c>
      <c r="E29" s="35" t="s">
        <v>25</v>
      </c>
      <c r="F29" s="35" t="s">
        <v>25</v>
      </c>
      <c r="G29" s="35" t="s">
        <v>25</v>
      </c>
      <c r="H29" s="35" t="s">
        <v>36</v>
      </c>
      <c r="I29" s="54">
        <v>44531</v>
      </c>
      <c r="J29" s="55">
        <f>EFEITO!$J$29*EFEITO!$Y$29</f>
        <v>0</v>
      </c>
      <c r="K29" s="55">
        <f ca="1">EFEITO!$L$29*EFEITO!$Z$29</f>
        <v>53226.995774996889</v>
      </c>
      <c r="L29" s="55">
        <f>EFEITO!$N$29*EFEITO!$AA$29</f>
        <v>136829.24942393566</v>
      </c>
      <c r="M29" s="55">
        <f>$J$29-EFEITO!$K$29*EFEITO!$Y$29</f>
        <v>0</v>
      </c>
      <c r="N29" s="55">
        <f ca="1">$K$29-EFEITO!$M$29*EFEITO!$Z$29</f>
        <v>0</v>
      </c>
      <c r="O29" s="55">
        <f>$L$29-EFEITO!$O$29*EFEITO!$AA$29</f>
        <v>0</v>
      </c>
      <c r="P29" s="39"/>
      <c r="Q29" s="39"/>
      <c r="R29" s="39"/>
      <c r="S29" s="39"/>
      <c r="T29" s="39"/>
      <c r="U29" s="39"/>
      <c r="V29" s="39"/>
      <c r="W29" s="39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1.25" customHeight="1" x14ac:dyDescent="0.2">
      <c r="A30" s="35" t="s">
        <v>21</v>
      </c>
      <c r="B30" s="35" t="s">
        <v>33</v>
      </c>
      <c r="C30" s="35" t="s">
        <v>37</v>
      </c>
      <c r="D30" s="35" t="s">
        <v>32</v>
      </c>
      <c r="E30" s="35" t="s">
        <v>25</v>
      </c>
      <c r="F30" s="35" t="s">
        <v>25</v>
      </c>
      <c r="G30" s="35" t="s">
        <v>25</v>
      </c>
      <c r="H30" s="35" t="s">
        <v>36</v>
      </c>
      <c r="I30" s="54">
        <v>44562</v>
      </c>
      <c r="J30" s="55">
        <f>EFEITO!$J$30*EFEITO!$Y$30</f>
        <v>0</v>
      </c>
      <c r="K30" s="55">
        <f ca="1">EFEITO!$L$30*EFEITO!$Z$30</f>
        <v>50486.472728052766</v>
      </c>
      <c r="L30" s="55">
        <f>EFEITO!$N$30*EFEITO!$AA$30</f>
        <v>129784.25832341392</v>
      </c>
      <c r="M30" s="55">
        <f>$J$30-EFEITO!$K$30*EFEITO!$Y$30</f>
        <v>0</v>
      </c>
      <c r="N30" s="55">
        <f ca="1">$K$30-EFEITO!$M$30*EFEITO!$Z$30</f>
        <v>0</v>
      </c>
      <c r="O30" s="55">
        <f>$L$30-EFEITO!$O$30*EFEITO!$AA$30</f>
        <v>0</v>
      </c>
      <c r="P30" s="39"/>
      <c r="Q30" s="39"/>
      <c r="R30" s="39"/>
      <c r="S30" s="39"/>
      <c r="T30" s="39"/>
      <c r="U30" s="39"/>
      <c r="V30" s="39"/>
      <c r="W30" s="39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1.25" customHeight="1" x14ac:dyDescent="0.2">
      <c r="A31" s="35" t="s">
        <v>21</v>
      </c>
      <c r="B31" s="35" t="s">
        <v>33</v>
      </c>
      <c r="C31" s="35" t="s">
        <v>37</v>
      </c>
      <c r="D31" s="35" t="s">
        <v>32</v>
      </c>
      <c r="E31" s="35" t="s">
        <v>25</v>
      </c>
      <c r="F31" s="35" t="s">
        <v>25</v>
      </c>
      <c r="G31" s="35" t="s">
        <v>25</v>
      </c>
      <c r="H31" s="35" t="s">
        <v>36</v>
      </c>
      <c r="I31" s="54">
        <v>44593</v>
      </c>
      <c r="J31" s="55">
        <f>EFEITO!$J$31*EFEITO!$Y$31</f>
        <v>0</v>
      </c>
      <c r="K31" s="55">
        <f ca="1">EFEITO!$L$31*EFEITO!$Z$31</f>
        <v>65132.335585298992</v>
      </c>
      <c r="L31" s="55">
        <f>EFEITO!$N$31*EFEITO!$AA$31</f>
        <v>167433.99588129163</v>
      </c>
      <c r="M31" s="55">
        <f>$J$31-EFEITO!$K$31*EFEITO!$Y$31</f>
        <v>0</v>
      </c>
      <c r="N31" s="55">
        <f ca="1">$K$31-EFEITO!$M$31*EFEITO!$Z$31</f>
        <v>0</v>
      </c>
      <c r="O31" s="55">
        <f>$L$31-EFEITO!$O$31*EFEITO!$AA$31</f>
        <v>0</v>
      </c>
      <c r="P31" s="39"/>
      <c r="Q31" s="39"/>
      <c r="R31" s="39"/>
      <c r="S31" s="39"/>
      <c r="T31" s="39"/>
      <c r="U31" s="39"/>
      <c r="V31" s="39"/>
      <c r="W31" s="39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1.25" customHeight="1" x14ac:dyDescent="0.2">
      <c r="A32" s="35" t="s">
        <v>21</v>
      </c>
      <c r="B32" s="35" t="s">
        <v>33</v>
      </c>
      <c r="C32" s="35" t="s">
        <v>37</v>
      </c>
      <c r="D32" s="35" t="s">
        <v>32</v>
      </c>
      <c r="E32" s="35" t="s">
        <v>25</v>
      </c>
      <c r="F32" s="35" t="s">
        <v>25</v>
      </c>
      <c r="G32" s="35" t="s">
        <v>25</v>
      </c>
      <c r="H32" s="35" t="s">
        <v>36</v>
      </c>
      <c r="I32" s="54">
        <v>44621</v>
      </c>
      <c r="J32" s="55">
        <f>EFEITO!$J$32*EFEITO!$Y$32</f>
        <v>0</v>
      </c>
      <c r="K32" s="55">
        <f ca="1">EFEITO!$L$32*EFEITO!$Z$32</f>
        <v>75790.651082532233</v>
      </c>
      <c r="L32" s="55">
        <f>EFEITO!$N$32*EFEITO!$AA$32</f>
        <v>194833.04947009077</v>
      </c>
      <c r="M32" s="55">
        <f>$J$32-EFEITO!$K$32*EFEITO!$Y$32</f>
        <v>0</v>
      </c>
      <c r="N32" s="55">
        <f ca="1">$K$32-EFEITO!$M$32*EFEITO!$Z$32</f>
        <v>0</v>
      </c>
      <c r="O32" s="55">
        <f>$L$32-EFEITO!$O$32*EFEITO!$AA$32</f>
        <v>0</v>
      </c>
      <c r="P32" s="39"/>
      <c r="Q32" s="39"/>
      <c r="R32" s="39"/>
      <c r="S32" s="39"/>
      <c r="T32" s="39"/>
      <c r="U32" s="39"/>
      <c r="V32" s="39"/>
      <c r="W32" s="39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1.25" customHeight="1" x14ac:dyDescent="0.2">
      <c r="A33" s="35" t="s">
        <v>21</v>
      </c>
      <c r="B33" s="35" t="s">
        <v>33</v>
      </c>
      <c r="C33" s="35" t="s">
        <v>37</v>
      </c>
      <c r="D33" s="35" t="s">
        <v>32</v>
      </c>
      <c r="E33" s="35" t="s">
        <v>25</v>
      </c>
      <c r="F33" s="35" t="s">
        <v>25</v>
      </c>
      <c r="G33" s="35" t="s">
        <v>25</v>
      </c>
      <c r="H33" s="35" t="s">
        <v>36</v>
      </c>
      <c r="I33" s="54">
        <v>44652</v>
      </c>
      <c r="J33" s="55">
        <f>EFEITO!$J$33*EFEITO!$Y$33</f>
        <v>0</v>
      </c>
      <c r="K33" s="55">
        <f ca="1">EFEITO!$L$33*EFEITO!$Z$33</f>
        <v>64049.938640008411</v>
      </c>
      <c r="L33" s="55">
        <f>EFEITO!$N$33*EFEITO!$AA$33</f>
        <v>164651.50629219404</v>
      </c>
      <c r="M33" s="55">
        <f>$J$33-EFEITO!$K$33*EFEITO!$Y$33</f>
        <v>0</v>
      </c>
      <c r="N33" s="55">
        <f ca="1">$K$33-EFEITO!$M$33*EFEITO!$Z$33</f>
        <v>0</v>
      </c>
      <c r="O33" s="55">
        <f>$L$33-EFEITO!$O$33*EFEITO!$AA$33</f>
        <v>0</v>
      </c>
      <c r="P33" s="39"/>
      <c r="Q33" s="39"/>
      <c r="R33" s="39"/>
      <c r="S33" s="39"/>
      <c r="T33" s="39"/>
      <c r="U33" s="39"/>
      <c r="V33" s="39"/>
      <c r="W33" s="39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1.25" customHeight="1" x14ac:dyDescent="0.2">
      <c r="A34" s="35" t="s">
        <v>21</v>
      </c>
      <c r="B34" s="35" t="s">
        <v>33</v>
      </c>
      <c r="C34" s="35" t="s">
        <v>37</v>
      </c>
      <c r="D34" s="35" t="s">
        <v>32</v>
      </c>
      <c r="E34" s="35" t="s">
        <v>25</v>
      </c>
      <c r="F34" s="35" t="s">
        <v>25</v>
      </c>
      <c r="G34" s="35" t="s">
        <v>25</v>
      </c>
      <c r="H34" s="35" t="s">
        <v>36</v>
      </c>
      <c r="I34" s="54">
        <v>44682</v>
      </c>
      <c r="J34" s="55">
        <f>EFEITO!$J$34*EFEITO!$Y$34</f>
        <v>0</v>
      </c>
      <c r="K34" s="55">
        <f ca="1">EFEITO!$L$34*EFEITO!$Z$34</f>
        <v>76644.678884425142</v>
      </c>
      <c r="L34" s="55">
        <f>EFEITO!$N$34*EFEITO!$AA$34</f>
        <v>197028.47646007457</v>
      </c>
      <c r="M34" s="55">
        <f>$J$34-EFEITO!$K$34*EFEITO!$Y$34</f>
        <v>0</v>
      </c>
      <c r="N34" s="55">
        <f ca="1">$K$34-EFEITO!$M$34*EFEITO!$Z$34</f>
        <v>0</v>
      </c>
      <c r="O34" s="55">
        <f>$L$34-EFEITO!$O$34*EFEITO!$AA$34</f>
        <v>0</v>
      </c>
      <c r="P34" s="39"/>
      <c r="Q34" s="39"/>
      <c r="R34" s="39"/>
      <c r="S34" s="39"/>
      <c r="T34" s="39"/>
      <c r="U34" s="39"/>
      <c r="V34" s="39"/>
      <c r="W34" s="39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1.25" customHeight="1" x14ac:dyDescent="0.2">
      <c r="A35" s="35" t="s">
        <v>21</v>
      </c>
      <c r="B35" s="35" t="s">
        <v>33</v>
      </c>
      <c r="C35" s="35" t="s">
        <v>37</v>
      </c>
      <c r="D35" s="35" t="s">
        <v>32</v>
      </c>
      <c r="E35" s="35" t="s">
        <v>25</v>
      </c>
      <c r="F35" s="35" t="s">
        <v>25</v>
      </c>
      <c r="G35" s="35" t="s">
        <v>25</v>
      </c>
      <c r="H35" s="35" t="s">
        <v>36</v>
      </c>
      <c r="I35" s="54">
        <v>44713</v>
      </c>
      <c r="J35" s="55">
        <f>EFEITO!$J$35*EFEITO!$Y$35</f>
        <v>0</v>
      </c>
      <c r="K35" s="55">
        <f ca="1">EFEITO!$L$35*EFEITO!$Z$35</f>
        <v>75878.657662926169</v>
      </c>
      <c r="L35" s="55">
        <f>EFEITO!$N$35*EFEITO!$AA$35</f>
        <v>195059.28569034592</v>
      </c>
      <c r="M35" s="55">
        <f>$J$35-EFEITO!$K$35*EFEITO!$Y$35</f>
        <v>0</v>
      </c>
      <c r="N35" s="55">
        <f ca="1">$K$35-EFEITO!$M$35*EFEITO!$Z$35</f>
        <v>0</v>
      </c>
      <c r="O35" s="55">
        <f>$L$35-EFEITO!$O$35*EFEITO!$AA$35</f>
        <v>0</v>
      </c>
      <c r="P35" s="39"/>
      <c r="Q35" s="39"/>
      <c r="R35" s="39"/>
      <c r="S35" s="39"/>
      <c r="T35" s="39"/>
      <c r="U35" s="39"/>
      <c r="V35" s="39"/>
      <c r="W35" s="39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1.25" customHeight="1" x14ac:dyDescent="0.2">
      <c r="A36" s="35" t="s">
        <v>21</v>
      </c>
      <c r="B36" s="35" t="s">
        <v>33</v>
      </c>
      <c r="C36" s="35" t="s">
        <v>37</v>
      </c>
      <c r="D36" s="35" t="s">
        <v>32</v>
      </c>
      <c r="E36" s="35" t="s">
        <v>25</v>
      </c>
      <c r="F36" s="35" t="s">
        <v>25</v>
      </c>
      <c r="G36" s="35" t="s">
        <v>25</v>
      </c>
      <c r="H36" s="35" t="s">
        <v>36</v>
      </c>
      <c r="I36" s="54">
        <v>44743</v>
      </c>
      <c r="J36" s="55">
        <f>EFEITO!$J$36*EFEITO!$Y$36</f>
        <v>0</v>
      </c>
      <c r="K36" s="55">
        <f ca="1">EFEITO!$L$36*EFEITO!$Z$36</f>
        <v>73164.079291856411</v>
      </c>
      <c r="L36" s="55">
        <f>EFEITO!$N$36*EFEITO!$AA$36</f>
        <v>188080.98989123554</v>
      </c>
      <c r="M36" s="55">
        <f>$J$36-EFEITO!$K$36*EFEITO!$Y$36</f>
        <v>0</v>
      </c>
      <c r="N36" s="55">
        <f ca="1">$K$36-EFEITO!$M$36*EFEITO!$Z$36</f>
        <v>0</v>
      </c>
      <c r="O36" s="55">
        <f>$L$36-EFEITO!$O$36*EFEITO!$AA$36</f>
        <v>0</v>
      </c>
      <c r="P36" s="39"/>
      <c r="Q36" s="39"/>
      <c r="R36" s="39"/>
      <c r="S36" s="39"/>
      <c r="T36" s="39"/>
      <c r="U36" s="39"/>
      <c r="V36" s="39"/>
      <c r="W36" s="39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.25" customHeight="1" x14ac:dyDescent="0.2">
      <c r="A37" s="35" t="s">
        <v>21</v>
      </c>
      <c r="B37" s="35" t="s">
        <v>33</v>
      </c>
      <c r="C37" s="35" t="s">
        <v>37</v>
      </c>
      <c r="D37" s="35" t="s">
        <v>32</v>
      </c>
      <c r="E37" s="35" t="s">
        <v>25</v>
      </c>
      <c r="F37" s="35" t="s">
        <v>25</v>
      </c>
      <c r="G37" s="35" t="s">
        <v>25</v>
      </c>
      <c r="H37" s="35" t="s">
        <v>36</v>
      </c>
      <c r="I37" s="54">
        <v>44774</v>
      </c>
      <c r="J37" s="55">
        <f>EFEITO!$J$37*EFEITO!$Y$37</f>
        <v>0</v>
      </c>
      <c r="K37" s="55">
        <f ca="1">EFEITO!$L$37*EFEITO!$Z$37</f>
        <v>79452.956732393664</v>
      </c>
      <c r="L37" s="55">
        <f>EFEITO!$N$37*EFEITO!$AA$37</f>
        <v>204247.6430599656</v>
      </c>
      <c r="M37" s="55">
        <f>$J$37-EFEITO!$K$37*EFEITO!$Y$37</f>
        <v>0</v>
      </c>
      <c r="N37" s="55">
        <f ca="1">$K$37-EFEITO!$M$37*EFEITO!$Z$37</f>
        <v>0</v>
      </c>
      <c r="O37" s="55">
        <f>$L$37-EFEITO!$O$37*EFEITO!$AA$37</f>
        <v>0</v>
      </c>
      <c r="P37" s="39"/>
      <c r="Q37" s="39"/>
      <c r="R37" s="39"/>
      <c r="S37" s="39"/>
      <c r="T37" s="39"/>
      <c r="U37" s="39"/>
      <c r="V37" s="39"/>
      <c r="W37" s="39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1.25" customHeight="1" x14ac:dyDescent="0.2">
      <c r="A38" s="35" t="s">
        <v>21</v>
      </c>
      <c r="B38" s="35" t="s">
        <v>33</v>
      </c>
      <c r="C38" s="35" t="s">
        <v>37</v>
      </c>
      <c r="D38" s="35" t="s">
        <v>32</v>
      </c>
      <c r="E38" s="35" t="s">
        <v>25</v>
      </c>
      <c r="F38" s="35" t="s">
        <v>25</v>
      </c>
      <c r="G38" s="35" t="s">
        <v>25</v>
      </c>
      <c r="H38" s="35" t="s">
        <v>25</v>
      </c>
      <c r="I38" s="54">
        <v>44440</v>
      </c>
      <c r="J38" s="55">
        <f ca="1">EFEITO!$J$38*EFEITO!$Y$38</f>
        <v>55689.908960473433</v>
      </c>
      <c r="K38" s="55">
        <f>EFEITO!$L$38*EFEITO!$Z$38</f>
        <v>0</v>
      </c>
      <c r="L38" s="55">
        <f>EFEITO!$N$38*EFEITO!$AA$38</f>
        <v>0</v>
      </c>
      <c r="M38" s="55">
        <f ca="1">$J$38-EFEITO!$K$38*EFEITO!$Y$38</f>
        <v>0</v>
      </c>
      <c r="N38" s="55">
        <f>$K$38-EFEITO!$M$38*EFEITO!$Z$38</f>
        <v>0</v>
      </c>
      <c r="O38" s="55">
        <f>$L$38-EFEITO!$O$38*EFEITO!$AA$38</f>
        <v>0</v>
      </c>
      <c r="P38" s="39"/>
      <c r="Q38" s="39"/>
      <c r="R38" s="39"/>
      <c r="S38" s="39"/>
      <c r="T38" s="39"/>
      <c r="U38" s="39"/>
      <c r="V38" s="39"/>
      <c r="W38" s="39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1.25" customHeight="1" x14ac:dyDescent="0.2">
      <c r="A39" s="35" t="s">
        <v>21</v>
      </c>
      <c r="B39" s="35" t="s">
        <v>33</v>
      </c>
      <c r="C39" s="35" t="s">
        <v>37</v>
      </c>
      <c r="D39" s="35" t="s">
        <v>32</v>
      </c>
      <c r="E39" s="35" t="s">
        <v>25</v>
      </c>
      <c r="F39" s="35" t="s">
        <v>25</v>
      </c>
      <c r="G39" s="35" t="s">
        <v>25</v>
      </c>
      <c r="H39" s="35" t="s">
        <v>25</v>
      </c>
      <c r="I39" s="54">
        <v>44470</v>
      </c>
      <c r="J39" s="55">
        <f ca="1">EFEITO!$J$39*EFEITO!$Y$39</f>
        <v>55749.05915586427</v>
      </c>
      <c r="K39" s="55">
        <f>EFEITO!$L$39*EFEITO!$Z$39</f>
        <v>0</v>
      </c>
      <c r="L39" s="55">
        <f>EFEITO!$N$39*EFEITO!$AA$39</f>
        <v>0</v>
      </c>
      <c r="M39" s="55">
        <f ca="1">$J$39-EFEITO!$K$39*EFEITO!$Y$39</f>
        <v>0</v>
      </c>
      <c r="N39" s="55">
        <f>$K$39-EFEITO!$M$39*EFEITO!$Z$39</f>
        <v>0</v>
      </c>
      <c r="O39" s="55">
        <f>$L$39-EFEITO!$O$39*EFEITO!$AA$39</f>
        <v>0</v>
      </c>
      <c r="P39" s="39"/>
      <c r="Q39" s="39"/>
      <c r="R39" s="39"/>
      <c r="S39" s="39"/>
      <c r="T39" s="39"/>
      <c r="U39" s="39"/>
      <c r="V39" s="39"/>
      <c r="W39" s="39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1.25" customHeight="1" x14ac:dyDescent="0.2">
      <c r="A40" s="35" t="s">
        <v>21</v>
      </c>
      <c r="B40" s="35" t="s">
        <v>33</v>
      </c>
      <c r="C40" s="35" t="s">
        <v>37</v>
      </c>
      <c r="D40" s="35" t="s">
        <v>32</v>
      </c>
      <c r="E40" s="35" t="s">
        <v>25</v>
      </c>
      <c r="F40" s="35" t="s">
        <v>25</v>
      </c>
      <c r="G40" s="35" t="s">
        <v>25</v>
      </c>
      <c r="H40" s="35" t="s">
        <v>25</v>
      </c>
      <c r="I40" s="54">
        <v>44501</v>
      </c>
      <c r="J40" s="55">
        <f ca="1">EFEITO!$J$40*EFEITO!$Y$40</f>
        <v>56059.597681666171</v>
      </c>
      <c r="K40" s="55">
        <f>EFEITO!$L$40*EFEITO!$Z$40</f>
        <v>0</v>
      </c>
      <c r="L40" s="55">
        <f>EFEITO!$N$40*EFEITO!$AA$40</f>
        <v>0</v>
      </c>
      <c r="M40" s="55">
        <f ca="1">$J$40-EFEITO!$K$40*EFEITO!$Y$40</f>
        <v>0</v>
      </c>
      <c r="N40" s="55">
        <f>$K$40-EFEITO!$M$40*EFEITO!$Z$40</f>
        <v>0</v>
      </c>
      <c r="O40" s="55">
        <f>$L$40-EFEITO!$O$40*EFEITO!$AA$40</f>
        <v>0</v>
      </c>
      <c r="P40" s="39"/>
      <c r="Q40" s="39"/>
      <c r="R40" s="39"/>
      <c r="S40" s="39"/>
      <c r="T40" s="39"/>
      <c r="U40" s="39"/>
      <c r="V40" s="39"/>
      <c r="W40" s="39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1.25" customHeight="1" x14ac:dyDescent="0.2">
      <c r="A41" s="35" t="s">
        <v>21</v>
      </c>
      <c r="B41" s="35" t="s">
        <v>33</v>
      </c>
      <c r="C41" s="35" t="s">
        <v>37</v>
      </c>
      <c r="D41" s="35" t="s">
        <v>32</v>
      </c>
      <c r="E41" s="35" t="s">
        <v>25</v>
      </c>
      <c r="F41" s="35" t="s">
        <v>25</v>
      </c>
      <c r="G41" s="35" t="s">
        <v>25</v>
      </c>
      <c r="H41" s="35" t="s">
        <v>25</v>
      </c>
      <c r="I41" s="54">
        <v>44531</v>
      </c>
      <c r="J41" s="55">
        <f ca="1">EFEITO!$J$41*EFEITO!$Y$41</f>
        <v>55837.78444895053</v>
      </c>
      <c r="K41" s="55">
        <f>EFEITO!$L$41*EFEITO!$Z$41</f>
        <v>0</v>
      </c>
      <c r="L41" s="55">
        <f>EFEITO!$N$41*EFEITO!$AA$41</f>
        <v>0</v>
      </c>
      <c r="M41" s="55">
        <f ca="1">$J$41-EFEITO!$K$41*EFEITO!$Y$41</f>
        <v>0</v>
      </c>
      <c r="N41" s="55">
        <f>$K$41-EFEITO!$M$41*EFEITO!$Z$41</f>
        <v>0</v>
      </c>
      <c r="O41" s="55">
        <f>$L$41-EFEITO!$O$41*EFEITO!$AA$41</f>
        <v>0</v>
      </c>
      <c r="P41" s="39"/>
      <c r="Q41" s="39"/>
      <c r="R41" s="39"/>
      <c r="S41" s="39"/>
      <c r="T41" s="39"/>
      <c r="U41" s="39"/>
      <c r="V41" s="39"/>
      <c r="W41" s="39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1.25" customHeight="1" x14ac:dyDescent="0.2">
      <c r="A42" s="35" t="s">
        <v>21</v>
      </c>
      <c r="B42" s="35" t="s">
        <v>33</v>
      </c>
      <c r="C42" s="35" t="s">
        <v>37</v>
      </c>
      <c r="D42" s="35" t="s">
        <v>32</v>
      </c>
      <c r="E42" s="35" t="s">
        <v>25</v>
      </c>
      <c r="F42" s="35" t="s">
        <v>25</v>
      </c>
      <c r="G42" s="35" t="s">
        <v>25</v>
      </c>
      <c r="H42" s="35" t="s">
        <v>25</v>
      </c>
      <c r="I42" s="54">
        <v>44562</v>
      </c>
      <c r="J42" s="55">
        <f ca="1">EFEITO!$J$42*EFEITO!$Y$42</f>
        <v>55822.996900102822</v>
      </c>
      <c r="K42" s="55">
        <f>EFEITO!$L$42*EFEITO!$Z$42</f>
        <v>0</v>
      </c>
      <c r="L42" s="55">
        <f>EFEITO!$N$42*EFEITO!$AA$42</f>
        <v>0</v>
      </c>
      <c r="M42" s="55">
        <f ca="1">$J$42-EFEITO!$K$42*EFEITO!$Y$42</f>
        <v>0</v>
      </c>
      <c r="N42" s="55">
        <f>$K$42-EFEITO!$M$42*EFEITO!$Z$42</f>
        <v>0</v>
      </c>
      <c r="O42" s="55">
        <f>$L$42-EFEITO!$O$42*EFEITO!$AA$42</f>
        <v>0</v>
      </c>
      <c r="P42" s="39"/>
      <c r="Q42" s="39"/>
      <c r="R42" s="39"/>
      <c r="S42" s="39"/>
      <c r="T42" s="39"/>
      <c r="U42" s="39"/>
      <c r="V42" s="39"/>
      <c r="W42" s="39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1.25" customHeight="1" x14ac:dyDescent="0.2">
      <c r="A43" s="35" t="s">
        <v>21</v>
      </c>
      <c r="B43" s="35" t="s">
        <v>33</v>
      </c>
      <c r="C43" s="35" t="s">
        <v>37</v>
      </c>
      <c r="D43" s="35" t="s">
        <v>32</v>
      </c>
      <c r="E43" s="35" t="s">
        <v>25</v>
      </c>
      <c r="F43" s="35" t="s">
        <v>25</v>
      </c>
      <c r="G43" s="35" t="s">
        <v>25</v>
      </c>
      <c r="H43" s="35" t="s">
        <v>25</v>
      </c>
      <c r="I43" s="54">
        <v>44593</v>
      </c>
      <c r="J43" s="55">
        <f ca="1">EFEITO!$J$43*EFEITO!$Y$43</f>
        <v>55867.359546645945</v>
      </c>
      <c r="K43" s="55">
        <f>EFEITO!$L$43*EFEITO!$Z$43</f>
        <v>0</v>
      </c>
      <c r="L43" s="55">
        <f>EFEITO!$N$43*EFEITO!$AA$43</f>
        <v>0</v>
      </c>
      <c r="M43" s="55">
        <f ca="1">$J$43-EFEITO!$K$43*EFEITO!$Y$43</f>
        <v>0</v>
      </c>
      <c r="N43" s="55">
        <f>$K$43-EFEITO!$M$43*EFEITO!$Z$43</f>
        <v>0</v>
      </c>
      <c r="O43" s="55">
        <f>$L$43-EFEITO!$O$43*EFEITO!$AA$43</f>
        <v>0</v>
      </c>
      <c r="P43" s="39"/>
      <c r="Q43" s="39"/>
      <c r="R43" s="39"/>
      <c r="S43" s="39"/>
      <c r="T43" s="39"/>
      <c r="U43" s="39"/>
      <c r="V43" s="39"/>
      <c r="W43" s="39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1.25" customHeight="1" x14ac:dyDescent="0.2">
      <c r="A44" s="35" t="s">
        <v>21</v>
      </c>
      <c r="B44" s="35" t="s">
        <v>33</v>
      </c>
      <c r="C44" s="35" t="s">
        <v>37</v>
      </c>
      <c r="D44" s="35" t="s">
        <v>32</v>
      </c>
      <c r="E44" s="35" t="s">
        <v>25</v>
      </c>
      <c r="F44" s="35" t="s">
        <v>25</v>
      </c>
      <c r="G44" s="35" t="s">
        <v>25</v>
      </c>
      <c r="H44" s="35" t="s">
        <v>25</v>
      </c>
      <c r="I44" s="54">
        <v>44621</v>
      </c>
      <c r="J44" s="55">
        <f ca="1">EFEITO!$J$44*EFEITO!$Y$44</f>
        <v>55837.78444895053</v>
      </c>
      <c r="K44" s="55">
        <f>EFEITO!$L$44*EFEITO!$Z$44</f>
        <v>0</v>
      </c>
      <c r="L44" s="55">
        <f>EFEITO!$N$44*EFEITO!$AA$44</f>
        <v>0</v>
      </c>
      <c r="M44" s="55">
        <f ca="1">$J$44-EFEITO!$K$44*EFEITO!$Y$44</f>
        <v>0</v>
      </c>
      <c r="N44" s="55">
        <f>$K$44-EFEITO!$M$44*EFEITO!$Z$44</f>
        <v>0</v>
      </c>
      <c r="O44" s="55">
        <f>$L$44-EFEITO!$O$44*EFEITO!$AA$44</f>
        <v>0</v>
      </c>
      <c r="P44" s="39"/>
      <c r="Q44" s="39"/>
      <c r="R44" s="39"/>
      <c r="S44" s="39"/>
      <c r="T44" s="39"/>
      <c r="U44" s="39"/>
      <c r="V44" s="39"/>
      <c r="W44" s="39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1.25" customHeight="1" x14ac:dyDescent="0.2">
      <c r="A45" s="35" t="s">
        <v>21</v>
      </c>
      <c r="B45" s="35" t="s">
        <v>33</v>
      </c>
      <c r="C45" s="35" t="s">
        <v>37</v>
      </c>
      <c r="D45" s="35" t="s">
        <v>32</v>
      </c>
      <c r="E45" s="35" t="s">
        <v>25</v>
      </c>
      <c r="F45" s="35" t="s">
        <v>25</v>
      </c>
      <c r="G45" s="35" t="s">
        <v>25</v>
      </c>
      <c r="H45" s="35" t="s">
        <v>25</v>
      </c>
      <c r="I45" s="54">
        <v>44652</v>
      </c>
      <c r="J45" s="55">
        <f ca="1">EFEITO!$J$45*EFEITO!$Y$45</f>
        <v>56015.235035123042</v>
      </c>
      <c r="K45" s="55">
        <f>EFEITO!$L$45*EFEITO!$Z$45</f>
        <v>0</v>
      </c>
      <c r="L45" s="55">
        <f>EFEITO!$N$45*EFEITO!$AA$45</f>
        <v>0</v>
      </c>
      <c r="M45" s="55">
        <f ca="1">$J$45-EFEITO!$K$45*EFEITO!$Y$45</f>
        <v>0</v>
      </c>
      <c r="N45" s="55">
        <f>$K$45-EFEITO!$M$45*EFEITO!$Z$45</f>
        <v>0</v>
      </c>
      <c r="O45" s="55">
        <f>$L$45-EFEITO!$O$45*EFEITO!$AA$45</f>
        <v>0</v>
      </c>
      <c r="P45" s="39"/>
      <c r="Q45" s="39"/>
      <c r="R45" s="39"/>
      <c r="S45" s="39"/>
      <c r="T45" s="39"/>
      <c r="U45" s="39"/>
      <c r="V45" s="39"/>
      <c r="W45" s="39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1.25" customHeight="1" x14ac:dyDescent="0.2">
      <c r="A46" s="35" t="s">
        <v>21</v>
      </c>
      <c r="B46" s="35" t="s">
        <v>33</v>
      </c>
      <c r="C46" s="35" t="s">
        <v>37</v>
      </c>
      <c r="D46" s="35" t="s">
        <v>32</v>
      </c>
      <c r="E46" s="35" t="s">
        <v>25</v>
      </c>
      <c r="F46" s="35" t="s">
        <v>25</v>
      </c>
      <c r="G46" s="35" t="s">
        <v>25</v>
      </c>
      <c r="H46" s="35" t="s">
        <v>25</v>
      </c>
      <c r="I46" s="54">
        <v>44682</v>
      </c>
      <c r="J46" s="55">
        <f ca="1">EFEITO!$J$46*EFEITO!$Y$46</f>
        <v>56340.561109772651</v>
      </c>
      <c r="K46" s="55">
        <f>EFEITO!$L$46*EFEITO!$Z$46</f>
        <v>0</v>
      </c>
      <c r="L46" s="55">
        <f>EFEITO!$N$46*EFEITO!$AA$46</f>
        <v>0</v>
      </c>
      <c r="M46" s="55">
        <f ca="1">$J$46-EFEITO!$K$46*EFEITO!$Y$46</f>
        <v>0</v>
      </c>
      <c r="N46" s="55">
        <f>$K$46-EFEITO!$M$46*EFEITO!$Z$46</f>
        <v>0</v>
      </c>
      <c r="O46" s="55">
        <f>$L$46-EFEITO!$O$46*EFEITO!$AA$46</f>
        <v>0</v>
      </c>
      <c r="P46" s="39"/>
      <c r="Q46" s="39"/>
      <c r="R46" s="39"/>
      <c r="S46" s="39"/>
      <c r="T46" s="39"/>
      <c r="U46" s="39"/>
      <c r="V46" s="39"/>
      <c r="W46" s="39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1.25" customHeight="1" x14ac:dyDescent="0.2">
      <c r="A47" s="35" t="s">
        <v>21</v>
      </c>
      <c r="B47" s="35" t="s">
        <v>33</v>
      </c>
      <c r="C47" s="35" t="s">
        <v>37</v>
      </c>
      <c r="D47" s="35" t="s">
        <v>32</v>
      </c>
      <c r="E47" s="35" t="s">
        <v>25</v>
      </c>
      <c r="F47" s="35" t="s">
        <v>25</v>
      </c>
      <c r="G47" s="35" t="s">
        <v>25</v>
      </c>
      <c r="H47" s="35" t="s">
        <v>25</v>
      </c>
      <c r="I47" s="54">
        <v>44713</v>
      </c>
      <c r="J47" s="55">
        <f ca="1">EFEITO!$J$47*EFEITO!$Y$47</f>
        <v>56399.711305163488</v>
      </c>
      <c r="K47" s="55">
        <f>EFEITO!$L$47*EFEITO!$Z$47</f>
        <v>0</v>
      </c>
      <c r="L47" s="55">
        <f>EFEITO!$N$47*EFEITO!$AA$47</f>
        <v>0</v>
      </c>
      <c r="M47" s="55">
        <f ca="1">$J$47-EFEITO!$K$47*EFEITO!$Y$47</f>
        <v>0</v>
      </c>
      <c r="N47" s="55">
        <f>$K$47-EFEITO!$M$47*EFEITO!$Z$47</f>
        <v>0</v>
      </c>
      <c r="O47" s="55">
        <f>$L$47-EFEITO!$O$47*EFEITO!$AA$47</f>
        <v>0</v>
      </c>
      <c r="P47" s="39"/>
      <c r="Q47" s="39"/>
      <c r="R47" s="39"/>
      <c r="S47" s="39"/>
      <c r="T47" s="39"/>
      <c r="U47" s="39"/>
      <c r="V47" s="39"/>
      <c r="W47" s="39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1.25" customHeight="1" x14ac:dyDescent="0.2">
      <c r="A48" s="35" t="s">
        <v>21</v>
      </c>
      <c r="B48" s="35" t="s">
        <v>33</v>
      </c>
      <c r="C48" s="35" t="s">
        <v>37</v>
      </c>
      <c r="D48" s="35" t="s">
        <v>32</v>
      </c>
      <c r="E48" s="35" t="s">
        <v>25</v>
      </c>
      <c r="F48" s="35" t="s">
        <v>25</v>
      </c>
      <c r="G48" s="35" t="s">
        <v>25</v>
      </c>
      <c r="H48" s="35" t="s">
        <v>25</v>
      </c>
      <c r="I48" s="54">
        <v>44743</v>
      </c>
      <c r="J48" s="55">
        <f ca="1">EFEITO!$J$48*EFEITO!$Y$48</f>
        <v>51312.794501551463</v>
      </c>
      <c r="K48" s="55">
        <f>EFEITO!$L$48*EFEITO!$Z$48</f>
        <v>0</v>
      </c>
      <c r="L48" s="55">
        <f>EFEITO!$N$48*EFEITO!$AA$48</f>
        <v>0</v>
      </c>
      <c r="M48" s="55">
        <f ca="1">$J$48-EFEITO!$K$48*EFEITO!$Y$48</f>
        <v>0</v>
      </c>
      <c r="N48" s="55">
        <f>$K$48-EFEITO!$M$48*EFEITO!$Z$48</f>
        <v>0</v>
      </c>
      <c r="O48" s="55">
        <f>$L$48-EFEITO!$O$48*EFEITO!$AA$48</f>
        <v>0</v>
      </c>
      <c r="P48" s="39"/>
      <c r="Q48" s="39"/>
      <c r="R48" s="39"/>
      <c r="S48" s="39"/>
      <c r="T48" s="39"/>
      <c r="U48" s="39"/>
      <c r="V48" s="39"/>
      <c r="W48" s="39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1.25" customHeight="1" x14ac:dyDescent="0.2">
      <c r="A49" s="35" t="s">
        <v>21</v>
      </c>
      <c r="B49" s="35" t="s">
        <v>33</v>
      </c>
      <c r="C49" s="35" t="s">
        <v>37</v>
      </c>
      <c r="D49" s="35" t="s">
        <v>32</v>
      </c>
      <c r="E49" s="35" t="s">
        <v>25</v>
      </c>
      <c r="F49" s="35" t="s">
        <v>25</v>
      </c>
      <c r="G49" s="35" t="s">
        <v>25</v>
      </c>
      <c r="H49" s="35" t="s">
        <v>25</v>
      </c>
      <c r="I49" s="54">
        <v>44774</v>
      </c>
      <c r="J49" s="55">
        <f ca="1">EFEITO!$J$49*EFEITO!$Y$49</f>
        <v>51357.157148094593</v>
      </c>
      <c r="K49" s="55">
        <f>EFEITO!$L$49*EFEITO!$Z$49</f>
        <v>0</v>
      </c>
      <c r="L49" s="55">
        <f>EFEITO!$N$49*EFEITO!$AA$49</f>
        <v>0</v>
      </c>
      <c r="M49" s="55">
        <f ca="1">$J$49-EFEITO!$K$49*EFEITO!$Y$49</f>
        <v>0</v>
      </c>
      <c r="N49" s="55">
        <f>$K$49-EFEITO!$M$49*EFEITO!$Z$49</f>
        <v>0</v>
      </c>
      <c r="O49" s="55">
        <f>$L$49-EFEITO!$O$49*EFEITO!$AA$49</f>
        <v>0</v>
      </c>
      <c r="P49" s="39"/>
      <c r="Q49" s="39"/>
      <c r="R49" s="39"/>
      <c r="S49" s="39"/>
      <c r="T49" s="39"/>
      <c r="U49" s="39"/>
      <c r="V49" s="39"/>
      <c r="W49" s="39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1.25" customHeight="1" x14ac:dyDescent="0.2">
      <c r="A50" s="35" t="s">
        <v>21</v>
      </c>
      <c r="B50" s="35" t="s">
        <v>33</v>
      </c>
      <c r="C50" s="35" t="s">
        <v>37</v>
      </c>
      <c r="D50" s="35" t="s">
        <v>32</v>
      </c>
      <c r="E50" s="35" t="s">
        <v>25</v>
      </c>
      <c r="F50" s="35" t="s">
        <v>25</v>
      </c>
      <c r="G50" s="35" t="s">
        <v>25</v>
      </c>
      <c r="H50" s="35" t="s">
        <v>35</v>
      </c>
      <c r="I50" s="54">
        <v>44440</v>
      </c>
      <c r="J50" s="55">
        <f>EFEITO!$J$50*EFEITO!$Y$50</f>
        <v>0</v>
      </c>
      <c r="K50" s="55">
        <f ca="1">EFEITO!$L$50*EFEITO!$Z$50</f>
        <v>77908.398824447664</v>
      </c>
      <c r="L50" s="55">
        <f>EFEITO!$N$50*EFEITO!$AA$50</f>
        <v>17340.298544645364</v>
      </c>
      <c r="M50" s="55">
        <f>$J$50-EFEITO!$K$50*EFEITO!$Y$50</f>
        <v>0</v>
      </c>
      <c r="N50" s="55">
        <f ca="1">$K$50-EFEITO!$M$50*EFEITO!$Z$50</f>
        <v>0</v>
      </c>
      <c r="O50" s="55">
        <f>$L$50-EFEITO!$O$50*EFEITO!$AA$50</f>
        <v>0</v>
      </c>
      <c r="P50" s="39"/>
      <c r="Q50" s="39"/>
      <c r="R50" s="39"/>
      <c r="S50" s="39"/>
      <c r="T50" s="39"/>
      <c r="U50" s="39"/>
      <c r="V50" s="39"/>
      <c r="W50" s="39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1.25" customHeight="1" x14ac:dyDescent="0.2">
      <c r="A51" s="35" t="s">
        <v>21</v>
      </c>
      <c r="B51" s="35" t="s">
        <v>33</v>
      </c>
      <c r="C51" s="35" t="s">
        <v>37</v>
      </c>
      <c r="D51" s="35" t="s">
        <v>32</v>
      </c>
      <c r="E51" s="35" t="s">
        <v>25</v>
      </c>
      <c r="F51" s="35" t="s">
        <v>25</v>
      </c>
      <c r="G51" s="35" t="s">
        <v>25</v>
      </c>
      <c r="H51" s="35" t="s">
        <v>35</v>
      </c>
      <c r="I51" s="54">
        <v>44470</v>
      </c>
      <c r="J51" s="55">
        <f>EFEITO!$J$51*EFEITO!$Y$51</f>
        <v>0</v>
      </c>
      <c r="K51" s="55">
        <f ca="1">EFEITO!$L$51*EFEITO!$Z$51</f>
        <v>80153.662870925487</v>
      </c>
      <c r="L51" s="55">
        <f>EFEITO!$N$51*EFEITO!$AA$51</f>
        <v>17840.033482918367</v>
      </c>
      <c r="M51" s="55">
        <f>$J$51-EFEITO!$K$51*EFEITO!$Y$51</f>
        <v>0</v>
      </c>
      <c r="N51" s="55">
        <f ca="1">$K$51-EFEITO!$M$51*EFEITO!$Z$51</f>
        <v>0</v>
      </c>
      <c r="O51" s="55">
        <f>$L$51-EFEITO!$O$51*EFEITO!$AA$51</f>
        <v>0</v>
      </c>
      <c r="P51" s="39"/>
      <c r="Q51" s="39"/>
      <c r="R51" s="39"/>
      <c r="S51" s="39"/>
      <c r="T51" s="39"/>
      <c r="U51" s="39"/>
      <c r="V51" s="39"/>
      <c r="W51" s="39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1.25" customHeight="1" x14ac:dyDescent="0.2">
      <c r="A52" s="35" t="s">
        <v>21</v>
      </c>
      <c r="B52" s="35" t="s">
        <v>33</v>
      </c>
      <c r="C52" s="35" t="s">
        <v>37</v>
      </c>
      <c r="D52" s="35" t="s">
        <v>32</v>
      </c>
      <c r="E52" s="35" t="s">
        <v>25</v>
      </c>
      <c r="F52" s="35" t="s">
        <v>25</v>
      </c>
      <c r="G52" s="35" t="s">
        <v>25</v>
      </c>
      <c r="H52" s="35" t="s">
        <v>35</v>
      </c>
      <c r="I52" s="54">
        <v>44501</v>
      </c>
      <c r="J52" s="55">
        <f>EFEITO!$J$52*EFEITO!$Y$52</f>
        <v>0</v>
      </c>
      <c r="K52" s="55">
        <f ca="1">EFEITO!$L$52*EFEITO!$Z$52</f>
        <v>72017.679662661132</v>
      </c>
      <c r="L52" s="55">
        <f>EFEITO!$N$52*EFEITO!$AA$52</f>
        <v>16029.18407625267</v>
      </c>
      <c r="M52" s="55">
        <f>$J$52-EFEITO!$K$52*EFEITO!$Y$52</f>
        <v>0</v>
      </c>
      <c r="N52" s="55">
        <f ca="1">$K$52-EFEITO!$M$52*EFEITO!$Z$52</f>
        <v>0</v>
      </c>
      <c r="O52" s="55">
        <f>$L$52-EFEITO!$O$52*EFEITO!$AA$52</f>
        <v>0</v>
      </c>
      <c r="P52" s="39"/>
      <c r="Q52" s="39"/>
      <c r="R52" s="39"/>
      <c r="S52" s="39"/>
      <c r="T52" s="39"/>
      <c r="U52" s="39"/>
      <c r="V52" s="39"/>
      <c r="W52" s="39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1.25" customHeight="1" x14ac:dyDescent="0.2">
      <c r="A53" s="35" t="s">
        <v>21</v>
      </c>
      <c r="B53" s="35" t="s">
        <v>33</v>
      </c>
      <c r="C53" s="35" t="s">
        <v>37</v>
      </c>
      <c r="D53" s="35" t="s">
        <v>32</v>
      </c>
      <c r="E53" s="35" t="s">
        <v>25</v>
      </c>
      <c r="F53" s="35" t="s">
        <v>25</v>
      </c>
      <c r="G53" s="35" t="s">
        <v>25</v>
      </c>
      <c r="H53" s="35" t="s">
        <v>35</v>
      </c>
      <c r="I53" s="54">
        <v>44531</v>
      </c>
      <c r="J53" s="55">
        <f>EFEITO!$J$53*EFEITO!$Y$53</f>
        <v>0</v>
      </c>
      <c r="K53" s="55">
        <f ca="1">EFEITO!$L$53*EFEITO!$Z$53</f>
        <v>52674.778407718921</v>
      </c>
      <c r="L53" s="55">
        <f>EFEITO!$N$53*EFEITO!$AA$53</f>
        <v>11723.978379032756</v>
      </c>
      <c r="M53" s="55">
        <f>$J$53-EFEITO!$K$53*EFEITO!$Y$53</f>
        <v>0</v>
      </c>
      <c r="N53" s="55">
        <f ca="1">$K$53-EFEITO!$M$53*EFEITO!$Z$53</f>
        <v>0</v>
      </c>
      <c r="O53" s="55">
        <f>$L$53-EFEITO!$O$53*EFEITO!$AA$53</f>
        <v>0</v>
      </c>
      <c r="P53" s="39"/>
      <c r="Q53" s="39"/>
      <c r="R53" s="39"/>
      <c r="S53" s="39"/>
      <c r="T53" s="39"/>
      <c r="U53" s="39"/>
      <c r="V53" s="39"/>
      <c r="W53" s="39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1.25" customHeight="1" x14ac:dyDescent="0.2">
      <c r="A54" s="35" t="s">
        <v>21</v>
      </c>
      <c r="B54" s="35" t="s">
        <v>33</v>
      </c>
      <c r="C54" s="35" t="s">
        <v>37</v>
      </c>
      <c r="D54" s="35" t="s">
        <v>32</v>
      </c>
      <c r="E54" s="35" t="s">
        <v>25</v>
      </c>
      <c r="F54" s="35" t="s">
        <v>25</v>
      </c>
      <c r="G54" s="35" t="s">
        <v>25</v>
      </c>
      <c r="H54" s="35" t="s">
        <v>35</v>
      </c>
      <c r="I54" s="54">
        <v>44562</v>
      </c>
      <c r="J54" s="55">
        <f>EFEITO!$J$54*EFEITO!$Y$54</f>
        <v>0</v>
      </c>
      <c r="K54" s="55">
        <f ca="1">EFEITO!$L$54*EFEITO!$Z$54</f>
        <v>48579.839323432185</v>
      </c>
      <c r="L54" s="55">
        <f>EFEITO!$N$54*EFEITO!$AA$54</f>
        <v>10812.555896796008</v>
      </c>
      <c r="M54" s="55">
        <f>$J$54-EFEITO!$K$54*EFEITO!$Y$54</f>
        <v>0</v>
      </c>
      <c r="N54" s="55">
        <f ca="1">$K$54-EFEITO!$M$54*EFEITO!$Z$54</f>
        <v>0</v>
      </c>
      <c r="O54" s="55">
        <f>$L$54-EFEITO!$O$54*EFEITO!$AA$54</f>
        <v>0</v>
      </c>
      <c r="P54" s="39"/>
      <c r="Q54" s="39"/>
      <c r="R54" s="39"/>
      <c r="S54" s="39"/>
      <c r="T54" s="39"/>
      <c r="U54" s="39"/>
      <c r="V54" s="39"/>
      <c r="W54" s="39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1.25" customHeight="1" x14ac:dyDescent="0.2">
      <c r="A55" s="35" t="s">
        <v>21</v>
      </c>
      <c r="B55" s="35" t="s">
        <v>33</v>
      </c>
      <c r="C55" s="35" t="s">
        <v>37</v>
      </c>
      <c r="D55" s="35" t="s">
        <v>32</v>
      </c>
      <c r="E55" s="35" t="s">
        <v>25</v>
      </c>
      <c r="F55" s="35" t="s">
        <v>25</v>
      </c>
      <c r="G55" s="35" t="s">
        <v>25</v>
      </c>
      <c r="H55" s="35" t="s">
        <v>35</v>
      </c>
      <c r="I55" s="54">
        <v>44593</v>
      </c>
      <c r="J55" s="55">
        <f>EFEITO!$J$55*EFEITO!$Y$55</f>
        <v>0</v>
      </c>
      <c r="K55" s="55">
        <f ca="1">EFEITO!$L$55*EFEITO!$Z$55</f>
        <v>64376.45219003447</v>
      </c>
      <c r="L55" s="55">
        <f>EFEITO!$N$55*EFEITO!$AA$55</f>
        <v>14328.45389026259</v>
      </c>
      <c r="M55" s="55">
        <f>$J$55-EFEITO!$K$55*EFEITO!$Y$55</f>
        <v>0</v>
      </c>
      <c r="N55" s="55">
        <f ca="1">$K$55-EFEITO!$M$55*EFEITO!$Z$55</f>
        <v>0</v>
      </c>
      <c r="O55" s="55">
        <f>$L$55-EFEITO!$O$55*EFEITO!$AA$55</f>
        <v>0</v>
      </c>
      <c r="P55" s="39"/>
      <c r="Q55" s="39"/>
      <c r="R55" s="39"/>
      <c r="S55" s="39"/>
      <c r="T55" s="39"/>
      <c r="U55" s="39"/>
      <c r="V55" s="39"/>
      <c r="W55" s="39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1.25" customHeight="1" x14ac:dyDescent="0.2">
      <c r="A56" s="35" t="s">
        <v>21</v>
      </c>
      <c r="B56" s="35" t="s">
        <v>33</v>
      </c>
      <c r="C56" s="35" t="s">
        <v>37</v>
      </c>
      <c r="D56" s="35" t="s">
        <v>32</v>
      </c>
      <c r="E56" s="35" t="s">
        <v>25</v>
      </c>
      <c r="F56" s="35" t="s">
        <v>25</v>
      </c>
      <c r="G56" s="35" t="s">
        <v>25</v>
      </c>
      <c r="H56" s="35" t="s">
        <v>35</v>
      </c>
      <c r="I56" s="54">
        <v>44621</v>
      </c>
      <c r="J56" s="55">
        <f>EFEITO!$J$56*EFEITO!$Y$56</f>
        <v>0</v>
      </c>
      <c r="K56" s="55">
        <f ca="1">EFEITO!$L$56*EFEITO!$Z$56</f>
        <v>73075.098783926005</v>
      </c>
      <c r="L56" s="55">
        <f>EFEITO!$N$56*EFEITO!$AA$56</f>
        <v>16264.536920441733</v>
      </c>
      <c r="M56" s="55">
        <f>$J$56-EFEITO!$K$56*EFEITO!$Y$56</f>
        <v>0</v>
      </c>
      <c r="N56" s="55">
        <f ca="1">$K$56-EFEITO!$M$56*EFEITO!$Z$56</f>
        <v>0</v>
      </c>
      <c r="O56" s="55">
        <f>$L$56-EFEITO!$O$56*EFEITO!$AA$56</f>
        <v>0</v>
      </c>
      <c r="P56" s="39"/>
      <c r="Q56" s="39"/>
      <c r="R56" s="39"/>
      <c r="S56" s="39"/>
      <c r="T56" s="39"/>
      <c r="U56" s="39"/>
      <c r="V56" s="39"/>
      <c r="W56" s="39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1.25" customHeight="1" x14ac:dyDescent="0.2">
      <c r="A57" s="35" t="s">
        <v>21</v>
      </c>
      <c r="B57" s="35" t="s">
        <v>33</v>
      </c>
      <c r="C57" s="35" t="s">
        <v>37</v>
      </c>
      <c r="D57" s="35" t="s">
        <v>32</v>
      </c>
      <c r="E57" s="35" t="s">
        <v>25</v>
      </c>
      <c r="F57" s="35" t="s">
        <v>25</v>
      </c>
      <c r="G57" s="35" t="s">
        <v>25</v>
      </c>
      <c r="H57" s="35" t="s">
        <v>35</v>
      </c>
      <c r="I57" s="54">
        <v>44652</v>
      </c>
      <c r="J57" s="55">
        <f>EFEITO!$J$57*EFEITO!$Y$57</f>
        <v>0</v>
      </c>
      <c r="K57" s="55">
        <f ca="1">EFEITO!$L$57*EFEITO!$Z$57</f>
        <v>57595.388283941327</v>
      </c>
      <c r="L57" s="55">
        <f>EFEITO!$N$57*EFEITO!$AA$57</f>
        <v>12819.172806885021</v>
      </c>
      <c r="M57" s="55">
        <f>$J$57-EFEITO!$K$57*EFEITO!$Y$57</f>
        <v>0</v>
      </c>
      <c r="N57" s="55">
        <f ca="1">$K$57-EFEITO!$M$57*EFEITO!$Z$57</f>
        <v>0</v>
      </c>
      <c r="O57" s="55">
        <f>$L$57-EFEITO!$O$57*EFEITO!$AA$57</f>
        <v>0</v>
      </c>
      <c r="P57" s="39"/>
      <c r="Q57" s="39"/>
      <c r="R57" s="39"/>
      <c r="S57" s="39"/>
      <c r="T57" s="39"/>
      <c r="U57" s="39"/>
      <c r="V57" s="39"/>
      <c r="W57" s="39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1.25" customHeight="1" x14ac:dyDescent="0.2">
      <c r="A58" s="35" t="s">
        <v>21</v>
      </c>
      <c r="B58" s="35" t="s">
        <v>33</v>
      </c>
      <c r="C58" s="35" t="s">
        <v>37</v>
      </c>
      <c r="D58" s="35" t="s">
        <v>32</v>
      </c>
      <c r="E58" s="35" t="s">
        <v>25</v>
      </c>
      <c r="F58" s="35" t="s">
        <v>25</v>
      </c>
      <c r="G58" s="35" t="s">
        <v>25</v>
      </c>
      <c r="H58" s="35" t="s">
        <v>35</v>
      </c>
      <c r="I58" s="54">
        <v>44682</v>
      </c>
      <c r="J58" s="55">
        <f>EFEITO!$J$58*EFEITO!$Y$58</f>
        <v>0</v>
      </c>
      <c r="K58" s="55">
        <f ca="1">EFEITO!$L$58*EFEITO!$Z$58</f>
        <v>75196.404421692874</v>
      </c>
      <c r="L58" s="55">
        <f>EFEITO!$N$58*EFEITO!$AA$58</f>
        <v>16736.682075756795</v>
      </c>
      <c r="M58" s="55">
        <f>$J$58-EFEITO!$K$58*EFEITO!$Y$58</f>
        <v>0</v>
      </c>
      <c r="N58" s="55">
        <f ca="1">$K$58-EFEITO!$M$58*EFEITO!$Z$58</f>
        <v>0</v>
      </c>
      <c r="O58" s="55">
        <f>$L$58-EFEITO!$O$58*EFEITO!$AA$58</f>
        <v>0</v>
      </c>
      <c r="P58" s="39"/>
      <c r="Q58" s="39"/>
      <c r="R58" s="39"/>
      <c r="S58" s="39"/>
      <c r="T58" s="39"/>
      <c r="U58" s="39"/>
      <c r="V58" s="39"/>
      <c r="W58" s="39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1.25" customHeight="1" x14ac:dyDescent="0.2">
      <c r="A59" s="35" t="s">
        <v>21</v>
      </c>
      <c r="B59" s="35" t="s">
        <v>33</v>
      </c>
      <c r="C59" s="35" t="s">
        <v>37</v>
      </c>
      <c r="D59" s="35" t="s">
        <v>32</v>
      </c>
      <c r="E59" s="35" t="s">
        <v>25</v>
      </c>
      <c r="F59" s="35" t="s">
        <v>25</v>
      </c>
      <c r="G59" s="35" t="s">
        <v>25</v>
      </c>
      <c r="H59" s="35" t="s">
        <v>35</v>
      </c>
      <c r="I59" s="54">
        <v>44713</v>
      </c>
      <c r="J59" s="55">
        <f>EFEITO!$J$59*EFEITO!$Y$59</f>
        <v>0</v>
      </c>
      <c r="K59" s="55">
        <f ca="1">EFEITO!$L$59*EFEITO!$Z$59</f>
        <v>75346.232411352219</v>
      </c>
      <c r="L59" s="55">
        <f>EFEITO!$N$59*EFEITO!$AA$59</f>
        <v>16770.029726462482</v>
      </c>
      <c r="M59" s="55">
        <f>$J$59-EFEITO!$K$59*EFEITO!$Y$59</f>
        <v>0</v>
      </c>
      <c r="N59" s="55">
        <f ca="1">$K$59-EFEITO!$M$59*EFEITO!$Z$59</f>
        <v>0</v>
      </c>
      <c r="O59" s="55">
        <f>$L$59-EFEITO!$O$59*EFEITO!$AA$59</f>
        <v>0</v>
      </c>
      <c r="P59" s="39"/>
      <c r="Q59" s="39"/>
      <c r="R59" s="39"/>
      <c r="S59" s="39"/>
      <c r="T59" s="39"/>
      <c r="U59" s="39"/>
      <c r="V59" s="39"/>
      <c r="W59" s="39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1.25" customHeight="1" x14ac:dyDescent="0.2">
      <c r="A60" s="35" t="s">
        <v>21</v>
      </c>
      <c r="B60" s="35" t="s">
        <v>33</v>
      </c>
      <c r="C60" s="35" t="s">
        <v>37</v>
      </c>
      <c r="D60" s="35" t="s">
        <v>32</v>
      </c>
      <c r="E60" s="35" t="s">
        <v>25</v>
      </c>
      <c r="F60" s="35" t="s">
        <v>25</v>
      </c>
      <c r="G60" s="35" t="s">
        <v>25</v>
      </c>
      <c r="H60" s="35" t="s">
        <v>35</v>
      </c>
      <c r="I60" s="54">
        <v>44743</v>
      </c>
      <c r="J60" s="55">
        <f>EFEITO!$J$60*EFEITO!$Y$60</f>
        <v>0</v>
      </c>
      <c r="K60" s="55">
        <f ca="1">EFEITO!$L$60*EFEITO!$Z$60</f>
        <v>76039.321600927462</v>
      </c>
      <c r="L60" s="55">
        <f>EFEITO!$N$60*EFEITO!$AA$60</f>
        <v>16924.292599870809</v>
      </c>
      <c r="M60" s="55">
        <f>$J$60-EFEITO!$K$60*EFEITO!$Y$60</f>
        <v>0</v>
      </c>
      <c r="N60" s="55">
        <f ca="1">$K$60-EFEITO!$M$60*EFEITO!$Z$60</f>
        <v>0</v>
      </c>
      <c r="O60" s="55">
        <f>$L$60-EFEITO!$O$60*EFEITO!$AA$60</f>
        <v>0</v>
      </c>
      <c r="P60" s="39"/>
      <c r="Q60" s="39"/>
      <c r="R60" s="39"/>
      <c r="S60" s="39"/>
      <c r="T60" s="39"/>
      <c r="U60" s="39"/>
      <c r="V60" s="39"/>
      <c r="W60" s="39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1.25" customHeight="1" x14ac:dyDescent="0.2">
      <c r="A61" s="35" t="s">
        <v>21</v>
      </c>
      <c r="B61" s="35" t="s">
        <v>33</v>
      </c>
      <c r="C61" s="35" t="s">
        <v>37</v>
      </c>
      <c r="D61" s="35" t="s">
        <v>32</v>
      </c>
      <c r="E61" s="35" t="s">
        <v>25</v>
      </c>
      <c r="F61" s="35" t="s">
        <v>25</v>
      </c>
      <c r="G61" s="35" t="s">
        <v>25</v>
      </c>
      <c r="H61" s="35" t="s">
        <v>35</v>
      </c>
      <c r="I61" s="54">
        <v>44774</v>
      </c>
      <c r="J61" s="55">
        <f>EFEITO!$J$61*EFEITO!$Y$61</f>
        <v>0</v>
      </c>
      <c r="K61" s="55">
        <f ca="1">EFEITO!$L$61*EFEITO!$Z$61</f>
        <v>78115.355472034658</v>
      </c>
      <c r="L61" s="55">
        <f>EFEITO!$N$61*EFEITO!$AA$61</f>
        <v>17386.361486627316</v>
      </c>
      <c r="M61" s="55">
        <f>$J$61-EFEITO!$K$61*EFEITO!$Y$61</f>
        <v>0</v>
      </c>
      <c r="N61" s="55">
        <f ca="1">$K$61-EFEITO!$M$61*EFEITO!$Z$61</f>
        <v>0</v>
      </c>
      <c r="O61" s="55">
        <f>$L$61-EFEITO!$O$61*EFEITO!$AA$61</f>
        <v>0</v>
      </c>
      <c r="P61" s="39"/>
      <c r="Q61" s="39"/>
      <c r="R61" s="39"/>
      <c r="S61" s="39"/>
      <c r="T61" s="39"/>
      <c r="U61" s="39"/>
      <c r="V61" s="39"/>
      <c r="W61" s="39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1.25" customHeight="1" x14ac:dyDescent="0.2">
      <c r="A62" s="35" t="s">
        <v>21</v>
      </c>
      <c r="B62" s="35" t="s">
        <v>22</v>
      </c>
      <c r="C62" s="35" t="s">
        <v>23</v>
      </c>
      <c r="D62" s="35" t="s">
        <v>24</v>
      </c>
      <c r="E62" s="35" t="s">
        <v>24</v>
      </c>
      <c r="F62" s="35" t="s">
        <v>25</v>
      </c>
      <c r="G62" s="35" t="s">
        <v>25</v>
      </c>
      <c r="H62" s="35" t="s">
        <v>25</v>
      </c>
      <c r="I62" s="54">
        <v>44440</v>
      </c>
      <c r="J62" s="55">
        <f>EFEITO!$J$62*EFEITO!$Y$62</f>
        <v>0</v>
      </c>
      <c r="K62" s="55">
        <f ca="1">EFEITO!$L$62*EFEITO!$Z$62</f>
        <v>66477.913565199546</v>
      </c>
      <c r="L62" s="55">
        <f>EFEITO!$N$62*EFEITO!$AA$62</f>
        <v>57055.191334714167</v>
      </c>
      <c r="M62" s="55">
        <f>$J$62-EFEITO!$K$62*EFEITO!$Y$62</f>
        <v>0</v>
      </c>
      <c r="N62" s="55">
        <f ca="1">$K$62-EFEITO!$M$62*EFEITO!$Z$62</f>
        <v>0</v>
      </c>
      <c r="O62" s="55">
        <f>$L$62-EFEITO!$O$62*EFEITO!$AA$62</f>
        <v>0</v>
      </c>
      <c r="P62" s="39"/>
      <c r="Q62" s="39"/>
      <c r="R62" s="39"/>
      <c r="S62" s="39"/>
      <c r="T62" s="39"/>
      <c r="U62" s="39"/>
      <c r="V62" s="39"/>
      <c r="W62" s="39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1.25" customHeight="1" x14ac:dyDescent="0.2">
      <c r="A63" s="35" t="s">
        <v>21</v>
      </c>
      <c r="B63" s="35" t="s">
        <v>22</v>
      </c>
      <c r="C63" s="35" t="s">
        <v>23</v>
      </c>
      <c r="D63" s="35" t="s">
        <v>24</v>
      </c>
      <c r="E63" s="35" t="s">
        <v>24</v>
      </c>
      <c r="F63" s="35" t="s">
        <v>25</v>
      </c>
      <c r="G63" s="35" t="s">
        <v>25</v>
      </c>
      <c r="H63" s="35" t="s">
        <v>25</v>
      </c>
      <c r="I63" s="54">
        <v>44470</v>
      </c>
      <c r="J63" s="55">
        <f>EFEITO!$J$63*EFEITO!$Y$63</f>
        <v>0</v>
      </c>
      <c r="K63" s="55">
        <f ca="1">EFEITO!$L$63*EFEITO!$Z$63</f>
        <v>66289.508508631305</v>
      </c>
      <c r="L63" s="55">
        <f>EFEITO!$N$63*EFEITO!$AA$63</f>
        <v>56893.491215465001</v>
      </c>
      <c r="M63" s="55">
        <f>$J$63-EFEITO!$K$63*EFEITO!$Y$63</f>
        <v>0</v>
      </c>
      <c r="N63" s="55">
        <f ca="1">$K$63-EFEITO!$M$63*EFEITO!$Z$63</f>
        <v>0</v>
      </c>
      <c r="O63" s="55">
        <f>$L$63-EFEITO!$O$63*EFEITO!$AA$63</f>
        <v>0</v>
      </c>
      <c r="P63" s="39"/>
      <c r="Q63" s="39"/>
      <c r="R63" s="39"/>
      <c r="S63" s="39"/>
      <c r="T63" s="39"/>
      <c r="U63" s="39"/>
      <c r="V63" s="39"/>
      <c r="W63" s="39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1.25" customHeight="1" x14ac:dyDescent="0.2">
      <c r="A64" s="35" t="s">
        <v>21</v>
      </c>
      <c r="B64" s="35" t="s">
        <v>22</v>
      </c>
      <c r="C64" s="35" t="s">
        <v>23</v>
      </c>
      <c r="D64" s="35" t="s">
        <v>24</v>
      </c>
      <c r="E64" s="35" t="s">
        <v>24</v>
      </c>
      <c r="F64" s="35" t="s">
        <v>25</v>
      </c>
      <c r="G64" s="35" t="s">
        <v>25</v>
      </c>
      <c r="H64" s="35" t="s">
        <v>25</v>
      </c>
      <c r="I64" s="54">
        <v>44501</v>
      </c>
      <c r="J64" s="55">
        <f>EFEITO!$J$64*EFEITO!$Y$64</f>
        <v>0</v>
      </c>
      <c r="K64" s="55">
        <f ca="1">EFEITO!$L$64*EFEITO!$Z$64</f>
        <v>66489.094874194678</v>
      </c>
      <c r="L64" s="55">
        <f>EFEITO!$N$64*EFEITO!$AA$64</f>
        <v>57064.787780960411</v>
      </c>
      <c r="M64" s="55">
        <f>$J$64-EFEITO!$K$64*EFEITO!$Y$64</f>
        <v>0</v>
      </c>
      <c r="N64" s="55">
        <f ca="1">$K$64-EFEITO!$M$64*EFEITO!$Z$64</f>
        <v>0</v>
      </c>
      <c r="O64" s="55">
        <f>$L$64-EFEITO!$O$64*EFEITO!$AA$64</f>
        <v>0</v>
      </c>
      <c r="P64" s="39"/>
      <c r="Q64" s="39"/>
      <c r="R64" s="39"/>
      <c r="S64" s="39"/>
      <c r="T64" s="39"/>
      <c r="U64" s="39"/>
      <c r="V64" s="39"/>
      <c r="W64" s="39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1.25" customHeight="1" x14ac:dyDescent="0.2">
      <c r="A65" s="35" t="s">
        <v>21</v>
      </c>
      <c r="B65" s="35" t="s">
        <v>22</v>
      </c>
      <c r="C65" s="35" t="s">
        <v>23</v>
      </c>
      <c r="D65" s="35" t="s">
        <v>24</v>
      </c>
      <c r="E65" s="35" t="s">
        <v>24</v>
      </c>
      <c r="F65" s="35" t="s">
        <v>25</v>
      </c>
      <c r="G65" s="35" t="s">
        <v>25</v>
      </c>
      <c r="H65" s="35" t="s">
        <v>25</v>
      </c>
      <c r="I65" s="54">
        <v>44531</v>
      </c>
      <c r="J65" s="55">
        <f>EFEITO!$J$65*EFEITO!$Y$65</f>
        <v>0</v>
      </c>
      <c r="K65" s="55">
        <f ca="1">EFEITO!$L$65*EFEITO!$Z$65</f>
        <v>67324.338656132197</v>
      </c>
      <c r="L65" s="55">
        <f>EFEITO!$N$65*EFEITO!$AA$65</f>
        <v>57781.642315554614</v>
      </c>
      <c r="M65" s="55">
        <f>$J$65-EFEITO!$K$65*EFEITO!$Y$65</f>
        <v>0</v>
      </c>
      <c r="N65" s="55">
        <f ca="1">$K$65-EFEITO!$M$65*EFEITO!$Z$65</f>
        <v>0</v>
      </c>
      <c r="O65" s="55">
        <f>$L$65-EFEITO!$O$65*EFEITO!$AA$65</f>
        <v>0</v>
      </c>
      <c r="P65" s="39"/>
      <c r="Q65" s="39"/>
      <c r="R65" s="39"/>
      <c r="S65" s="39"/>
      <c r="T65" s="39"/>
      <c r="U65" s="39"/>
      <c r="V65" s="39"/>
      <c r="W65" s="39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1.25" customHeight="1" x14ac:dyDescent="0.2">
      <c r="A66" s="35" t="s">
        <v>21</v>
      </c>
      <c r="B66" s="35" t="s">
        <v>22</v>
      </c>
      <c r="C66" s="35" t="s">
        <v>23</v>
      </c>
      <c r="D66" s="35" t="s">
        <v>24</v>
      </c>
      <c r="E66" s="35" t="s">
        <v>24</v>
      </c>
      <c r="F66" s="35" t="s">
        <v>25</v>
      </c>
      <c r="G66" s="35" t="s">
        <v>25</v>
      </c>
      <c r="H66" s="35" t="s">
        <v>25</v>
      </c>
      <c r="I66" s="54">
        <v>44562</v>
      </c>
      <c r="J66" s="55">
        <f>EFEITO!$J$66*EFEITO!$Y$66</f>
        <v>0</v>
      </c>
      <c r="K66" s="55">
        <f ca="1">EFEITO!$L$66*EFEITO!$Z$66</f>
        <v>76773.383355206446</v>
      </c>
      <c r="L66" s="55">
        <f>EFEITO!$N$66*EFEITO!$AA$66</f>
        <v>65891.359127096817</v>
      </c>
      <c r="M66" s="55">
        <f>$J$66-EFEITO!$K$66*EFEITO!$Y$66</f>
        <v>0</v>
      </c>
      <c r="N66" s="55">
        <f ca="1">$K$66-EFEITO!$M$66*EFEITO!$Z$66</f>
        <v>0</v>
      </c>
      <c r="O66" s="55">
        <f>$L$66-EFEITO!$O$66*EFEITO!$AA$66</f>
        <v>0</v>
      </c>
      <c r="P66" s="39"/>
      <c r="Q66" s="39"/>
      <c r="R66" s="39"/>
      <c r="S66" s="39"/>
      <c r="T66" s="39"/>
      <c r="U66" s="39"/>
      <c r="V66" s="39"/>
      <c r="W66" s="39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1.25" customHeight="1" x14ac:dyDescent="0.2">
      <c r="A67" s="35" t="s">
        <v>21</v>
      </c>
      <c r="B67" s="35" t="s">
        <v>22</v>
      </c>
      <c r="C67" s="35" t="s">
        <v>23</v>
      </c>
      <c r="D67" s="35" t="s">
        <v>24</v>
      </c>
      <c r="E67" s="35" t="s">
        <v>24</v>
      </c>
      <c r="F67" s="35" t="s">
        <v>25</v>
      </c>
      <c r="G67" s="35" t="s">
        <v>25</v>
      </c>
      <c r="H67" s="35" t="s">
        <v>25</v>
      </c>
      <c r="I67" s="54">
        <v>44593</v>
      </c>
      <c r="J67" s="55">
        <f>EFEITO!$J$67*EFEITO!$Y$67</f>
        <v>0</v>
      </c>
      <c r="K67" s="55">
        <f ca="1">EFEITO!$L$67*EFEITO!$Z$67</f>
        <v>77516.660870658874</v>
      </c>
      <c r="L67" s="55">
        <f>EFEITO!$N$67*EFEITO!$AA$67</f>
        <v>66529.282891315699</v>
      </c>
      <c r="M67" s="55">
        <f>$J$67-EFEITO!$K$67*EFEITO!$Y$67</f>
        <v>0</v>
      </c>
      <c r="N67" s="55">
        <f ca="1">$K$67-EFEITO!$M$67*EFEITO!$Z$67</f>
        <v>0</v>
      </c>
      <c r="O67" s="55">
        <f>$L$67-EFEITO!$O$67*EFEITO!$AA$67</f>
        <v>0</v>
      </c>
      <c r="P67" s="39"/>
      <c r="Q67" s="39"/>
      <c r="R67" s="39"/>
      <c r="S67" s="39"/>
      <c r="T67" s="39"/>
      <c r="U67" s="39"/>
      <c r="V67" s="39"/>
      <c r="W67" s="39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1.25" customHeight="1" x14ac:dyDescent="0.2">
      <c r="A68" s="35" t="s">
        <v>21</v>
      </c>
      <c r="B68" s="35" t="s">
        <v>22</v>
      </c>
      <c r="C68" s="35" t="s">
        <v>23</v>
      </c>
      <c r="D68" s="35" t="s">
        <v>24</v>
      </c>
      <c r="E68" s="35" t="s">
        <v>24</v>
      </c>
      <c r="F68" s="35" t="s">
        <v>25</v>
      </c>
      <c r="G68" s="35" t="s">
        <v>25</v>
      </c>
      <c r="H68" s="35" t="s">
        <v>25</v>
      </c>
      <c r="I68" s="54">
        <v>44621</v>
      </c>
      <c r="J68" s="55">
        <f>EFEITO!$J$68*EFEITO!$Y$68</f>
        <v>0</v>
      </c>
      <c r="K68" s="55">
        <f ca="1">EFEITO!$L$68*EFEITO!$Z$68</f>
        <v>70583.969760942564</v>
      </c>
      <c r="L68" s="55">
        <f>EFEITO!$N$68*EFEITO!$AA$68</f>
        <v>60579.246307490059</v>
      </c>
      <c r="M68" s="55">
        <f>$J$68-EFEITO!$K$68*EFEITO!$Y$68</f>
        <v>0</v>
      </c>
      <c r="N68" s="55">
        <f ca="1">$K$68-EFEITO!$M$68*EFEITO!$Z$68</f>
        <v>0</v>
      </c>
      <c r="O68" s="55">
        <f>$L$68-EFEITO!$O$68*EFEITO!$AA$68</f>
        <v>0</v>
      </c>
      <c r="P68" s="39"/>
      <c r="Q68" s="39"/>
      <c r="R68" s="39"/>
      <c r="S68" s="39"/>
      <c r="T68" s="39"/>
      <c r="U68" s="39"/>
      <c r="V68" s="39"/>
      <c r="W68" s="39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1.25" customHeight="1" x14ac:dyDescent="0.2">
      <c r="A69" s="35" t="s">
        <v>21</v>
      </c>
      <c r="B69" s="35" t="s">
        <v>22</v>
      </c>
      <c r="C69" s="35" t="s">
        <v>23</v>
      </c>
      <c r="D69" s="35" t="s">
        <v>24</v>
      </c>
      <c r="E69" s="35" t="s">
        <v>24</v>
      </c>
      <c r="F69" s="35" t="s">
        <v>25</v>
      </c>
      <c r="G69" s="35" t="s">
        <v>25</v>
      </c>
      <c r="H69" s="35" t="s">
        <v>25</v>
      </c>
      <c r="I69" s="54">
        <v>44652</v>
      </c>
      <c r="J69" s="55">
        <f>EFEITO!$J$69*EFEITO!$Y$69</f>
        <v>0</v>
      </c>
      <c r="K69" s="55">
        <f ca="1">EFEITO!$L$69*EFEITO!$Z$69</f>
        <v>72480.599299244452</v>
      </c>
      <c r="L69" s="55">
        <f>EFEITO!$N$69*EFEITO!$AA$69</f>
        <v>62207.043502008695</v>
      </c>
      <c r="M69" s="55">
        <f>$J$69-EFEITO!$K$69*EFEITO!$Y$69</f>
        <v>0</v>
      </c>
      <c r="N69" s="55">
        <f ca="1">$K$69-EFEITO!$M$69*EFEITO!$Z$69</f>
        <v>0</v>
      </c>
      <c r="O69" s="55">
        <f>$L$69-EFEITO!$O$69*EFEITO!$AA$69</f>
        <v>0</v>
      </c>
      <c r="P69" s="39"/>
      <c r="Q69" s="39"/>
      <c r="R69" s="39"/>
      <c r="S69" s="39"/>
      <c r="T69" s="39"/>
      <c r="U69" s="39"/>
      <c r="V69" s="39"/>
      <c r="W69" s="39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1.25" customHeight="1" x14ac:dyDescent="0.2">
      <c r="A70" s="35" t="s">
        <v>21</v>
      </c>
      <c r="B70" s="35" t="s">
        <v>22</v>
      </c>
      <c r="C70" s="35" t="s">
        <v>23</v>
      </c>
      <c r="D70" s="35" t="s">
        <v>24</v>
      </c>
      <c r="E70" s="35" t="s">
        <v>24</v>
      </c>
      <c r="F70" s="35" t="s">
        <v>25</v>
      </c>
      <c r="G70" s="35" t="s">
        <v>25</v>
      </c>
      <c r="H70" s="35" t="s">
        <v>25</v>
      </c>
      <c r="I70" s="54">
        <v>44682</v>
      </c>
      <c r="J70" s="55">
        <f>EFEITO!$J$70*EFEITO!$Y$70</f>
        <v>0</v>
      </c>
      <c r="K70" s="55">
        <f ca="1">EFEITO!$L$70*EFEITO!$Z$70</f>
        <v>64144.653910637135</v>
      </c>
      <c r="L70" s="55">
        <f>EFEITO!$N$70*EFEITO!$AA$70</f>
        <v>55052.652914279803</v>
      </c>
      <c r="M70" s="55">
        <f>$J$70-EFEITO!$K$70*EFEITO!$Y$70</f>
        <v>0</v>
      </c>
      <c r="N70" s="55">
        <f ca="1">$K$70-EFEITO!$M$70*EFEITO!$Z$70</f>
        <v>0</v>
      </c>
      <c r="O70" s="55">
        <f>$L$70-EFEITO!$O$70*EFEITO!$AA$70</f>
        <v>0</v>
      </c>
      <c r="P70" s="39"/>
      <c r="Q70" s="39"/>
      <c r="R70" s="39"/>
      <c r="S70" s="39"/>
      <c r="T70" s="39"/>
      <c r="U70" s="39"/>
      <c r="V70" s="39"/>
      <c r="W70" s="39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1.25" customHeight="1" x14ac:dyDescent="0.2">
      <c r="A71" s="35" t="s">
        <v>21</v>
      </c>
      <c r="B71" s="35" t="s">
        <v>22</v>
      </c>
      <c r="C71" s="35" t="s">
        <v>23</v>
      </c>
      <c r="D71" s="35" t="s">
        <v>24</v>
      </c>
      <c r="E71" s="35" t="s">
        <v>24</v>
      </c>
      <c r="F71" s="35" t="s">
        <v>25</v>
      </c>
      <c r="G71" s="35" t="s">
        <v>25</v>
      </c>
      <c r="H71" s="35" t="s">
        <v>25</v>
      </c>
      <c r="I71" s="54">
        <v>44713</v>
      </c>
      <c r="J71" s="55">
        <f>EFEITO!$J$71*EFEITO!$Y$71</f>
        <v>0</v>
      </c>
      <c r="K71" s="55">
        <f ca="1">EFEITO!$L$71*EFEITO!$Z$71</f>
        <v>66417.53449662574</v>
      </c>
      <c r="L71" s="55">
        <f>EFEITO!$N$71*EFEITO!$AA$71</f>
        <v>57003.370524984464</v>
      </c>
      <c r="M71" s="55">
        <f>$J$71-EFEITO!$K$71*EFEITO!$Y$71</f>
        <v>0</v>
      </c>
      <c r="N71" s="55">
        <f ca="1">$K$71-EFEITO!$M$71*EFEITO!$Z$71</f>
        <v>0</v>
      </c>
      <c r="O71" s="55">
        <f>$L$71-EFEITO!$O$71*EFEITO!$AA$71</f>
        <v>0</v>
      </c>
      <c r="P71" s="39"/>
      <c r="Q71" s="39"/>
      <c r="R71" s="39"/>
      <c r="S71" s="39"/>
      <c r="T71" s="39"/>
      <c r="U71" s="39"/>
      <c r="V71" s="39"/>
      <c r="W71" s="39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1.25" customHeight="1" x14ac:dyDescent="0.2">
      <c r="A72" s="35" t="s">
        <v>21</v>
      </c>
      <c r="B72" s="35" t="s">
        <v>22</v>
      </c>
      <c r="C72" s="35" t="s">
        <v>23</v>
      </c>
      <c r="D72" s="35" t="s">
        <v>24</v>
      </c>
      <c r="E72" s="35" t="s">
        <v>24</v>
      </c>
      <c r="F72" s="35" t="s">
        <v>25</v>
      </c>
      <c r="G72" s="35" t="s">
        <v>25</v>
      </c>
      <c r="H72" s="35" t="s">
        <v>25</v>
      </c>
      <c r="I72" s="54">
        <v>44743</v>
      </c>
      <c r="J72" s="55">
        <f>EFEITO!$J$72*EFEITO!$Y$72</f>
        <v>0</v>
      </c>
      <c r="K72" s="55">
        <f ca="1">EFEITO!$L$72*EFEITO!$Z$72</f>
        <v>66623.550114861326</v>
      </c>
      <c r="L72" s="55">
        <f>EFEITO!$N$72*EFEITO!$AA$72</f>
        <v>57180.185047071456</v>
      </c>
      <c r="M72" s="55">
        <f>$J$72-EFEITO!$K$72*EFEITO!$Y$72</f>
        <v>0</v>
      </c>
      <c r="N72" s="55">
        <f ca="1">$K$72-EFEITO!$M$72*EFEITO!$Z$72</f>
        <v>0</v>
      </c>
      <c r="O72" s="55">
        <f>$L$72-EFEITO!$O$72*EFEITO!$AA$72</f>
        <v>0</v>
      </c>
      <c r="P72" s="39"/>
      <c r="Q72" s="39"/>
      <c r="R72" s="39"/>
      <c r="S72" s="39"/>
      <c r="T72" s="39"/>
      <c r="U72" s="39"/>
      <c r="V72" s="39"/>
      <c r="W72" s="39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1.25" customHeight="1" x14ac:dyDescent="0.2">
      <c r="A73" s="35" t="s">
        <v>21</v>
      </c>
      <c r="B73" s="35" t="s">
        <v>22</v>
      </c>
      <c r="C73" s="35" t="s">
        <v>23</v>
      </c>
      <c r="D73" s="35" t="s">
        <v>24</v>
      </c>
      <c r="E73" s="35" t="s">
        <v>24</v>
      </c>
      <c r="F73" s="35" t="s">
        <v>25</v>
      </c>
      <c r="G73" s="35" t="s">
        <v>25</v>
      </c>
      <c r="H73" s="35" t="s">
        <v>25</v>
      </c>
      <c r="I73" s="54">
        <v>44774</v>
      </c>
      <c r="J73" s="55">
        <f>EFEITO!$J$73*EFEITO!$Y$73</f>
        <v>0</v>
      </c>
      <c r="K73" s="55">
        <f ca="1">EFEITO!$L$73*EFEITO!$Z$73</f>
        <v>68731.506393171512</v>
      </c>
      <c r="L73" s="55">
        <f>EFEITO!$N$73*EFEITO!$AA$73</f>
        <v>58989.35507564406</v>
      </c>
      <c r="M73" s="55">
        <f>$J$73-EFEITO!$K$73*EFEITO!$Y$73</f>
        <v>0</v>
      </c>
      <c r="N73" s="55">
        <f ca="1">$K$73-EFEITO!$M$73*EFEITO!$Z$73</f>
        <v>0</v>
      </c>
      <c r="O73" s="55">
        <f>$L$73-EFEITO!$O$73*EFEITO!$AA$73</f>
        <v>0</v>
      </c>
      <c r="P73" s="39"/>
      <c r="Q73" s="39"/>
      <c r="R73" s="39"/>
      <c r="S73" s="39"/>
      <c r="T73" s="39"/>
      <c r="U73" s="39"/>
      <c r="V73" s="39"/>
      <c r="W73" s="39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1.25" customHeight="1" x14ac:dyDescent="0.2">
      <c r="A74" s="35" t="s">
        <v>21</v>
      </c>
      <c r="B74" s="35" t="s">
        <v>22</v>
      </c>
      <c r="C74" s="35" t="s">
        <v>23</v>
      </c>
      <c r="D74" s="35" t="s">
        <v>24</v>
      </c>
      <c r="E74" s="35" t="s">
        <v>27</v>
      </c>
      <c r="F74" s="35" t="s">
        <v>25</v>
      </c>
      <c r="G74" s="35" t="s">
        <v>25</v>
      </c>
      <c r="H74" s="35" t="s">
        <v>25</v>
      </c>
      <c r="I74" s="54">
        <v>44440</v>
      </c>
      <c r="J74" s="55">
        <f>EFEITO!$J$74*EFEITO!$Y$62</f>
        <v>0</v>
      </c>
      <c r="K74" s="55">
        <f ca="1">EFEITO!$L$74*EFEITO!$Z$99</f>
        <v>10.760533689134844</v>
      </c>
      <c r="L74" s="55">
        <f>EFEITO!$N$74*EFEITO!$AA$99</f>
        <v>14.394669369361655</v>
      </c>
      <c r="M74" s="55">
        <f>$J$74-EFEITO!$K$74*EFEITO!$Y$74</f>
        <v>0</v>
      </c>
      <c r="N74" s="55">
        <f ca="1">$K$74-EFEITO!$M$74*EFEITO!$Z$74</f>
        <v>6.9943468979376489</v>
      </c>
      <c r="O74" s="55">
        <f>$L$74-EFEITO!$O$74*EFEITO!$AA$74</f>
        <v>9.3565350900850763</v>
      </c>
      <c r="P74" s="39"/>
      <c r="Q74" s="39"/>
      <c r="R74" s="39"/>
      <c r="S74" s="39"/>
      <c r="T74" s="39"/>
      <c r="U74" s="39"/>
      <c r="V74" s="39"/>
      <c r="W74" s="39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1.25" customHeight="1" x14ac:dyDescent="0.2">
      <c r="A75" s="35" t="s">
        <v>21</v>
      </c>
      <c r="B75" s="35" t="s">
        <v>22</v>
      </c>
      <c r="C75" s="35" t="s">
        <v>23</v>
      </c>
      <c r="D75" s="35" t="s">
        <v>24</v>
      </c>
      <c r="E75" s="35" t="s">
        <v>27</v>
      </c>
      <c r="F75" s="35" t="s">
        <v>25</v>
      </c>
      <c r="G75" s="35" t="s">
        <v>25</v>
      </c>
      <c r="H75" s="35" t="s">
        <v>25</v>
      </c>
      <c r="I75" s="54">
        <v>44470</v>
      </c>
      <c r="J75" s="55">
        <f>EFEITO!$J$75*EFEITO!$Y$62</f>
        <v>0</v>
      </c>
      <c r="K75" s="55">
        <f ca="1">EFEITO!$L$75*EFEITO!$Z$99</f>
        <v>33.895681120774761</v>
      </c>
      <c r="L75" s="55">
        <f>EFEITO!$N$75*EFEITO!$AA$99</f>
        <v>45.343208513489209</v>
      </c>
      <c r="M75" s="55">
        <f>$J$75-EFEITO!$K$75*EFEITO!$Y$75</f>
        <v>0</v>
      </c>
      <c r="N75" s="55">
        <f ca="1">$K$75-EFEITO!$M$75*EFEITO!$Z$75</f>
        <v>22.032192728503595</v>
      </c>
      <c r="O75" s="55">
        <f>$L$75-EFEITO!$O$75*EFEITO!$AA$75</f>
        <v>29.473085533767986</v>
      </c>
      <c r="P75" s="39"/>
      <c r="Q75" s="39"/>
      <c r="R75" s="39"/>
      <c r="S75" s="39"/>
      <c r="T75" s="39"/>
      <c r="U75" s="39"/>
      <c r="V75" s="39"/>
      <c r="W75" s="39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1.25" customHeight="1" x14ac:dyDescent="0.2">
      <c r="A76" s="35" t="s">
        <v>21</v>
      </c>
      <c r="B76" s="35" t="s">
        <v>22</v>
      </c>
      <c r="C76" s="35" t="s">
        <v>23</v>
      </c>
      <c r="D76" s="35" t="s">
        <v>24</v>
      </c>
      <c r="E76" s="35" t="s">
        <v>27</v>
      </c>
      <c r="F76" s="35" t="s">
        <v>25</v>
      </c>
      <c r="G76" s="35" t="s">
        <v>25</v>
      </c>
      <c r="H76" s="35" t="s">
        <v>25</v>
      </c>
      <c r="I76" s="54">
        <v>44501</v>
      </c>
      <c r="J76" s="55">
        <f>EFEITO!$J$76*EFEITO!$Y$62</f>
        <v>0</v>
      </c>
      <c r="K76" s="55">
        <f ca="1">EFEITO!$L$76*EFEITO!$Z$99</f>
        <v>34.792392261535994</v>
      </c>
      <c r="L76" s="55">
        <f>EFEITO!$N$76*EFEITO!$AA$99</f>
        <v>46.542764294269354</v>
      </c>
      <c r="M76" s="55">
        <f>$J$76-EFEITO!$K$76*EFEITO!$Y$76</f>
        <v>0</v>
      </c>
      <c r="N76" s="55">
        <f ca="1">$K$76-EFEITO!$M$76*EFEITO!$Z$76</f>
        <v>22.615054969998397</v>
      </c>
      <c r="O76" s="55">
        <f>$L$76-EFEITO!$O$76*EFEITO!$AA$76</f>
        <v>30.252796791275081</v>
      </c>
      <c r="P76" s="39"/>
      <c r="Q76" s="39"/>
      <c r="R76" s="39"/>
      <c r="S76" s="39"/>
      <c r="T76" s="39"/>
      <c r="U76" s="39"/>
      <c r="V76" s="39"/>
      <c r="W76" s="39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1.25" customHeight="1" x14ac:dyDescent="0.2">
      <c r="A77" s="35" t="s">
        <v>21</v>
      </c>
      <c r="B77" s="35" t="s">
        <v>22</v>
      </c>
      <c r="C77" s="35" t="s">
        <v>23</v>
      </c>
      <c r="D77" s="35" t="s">
        <v>24</v>
      </c>
      <c r="E77" s="35" t="s">
        <v>27</v>
      </c>
      <c r="F77" s="35" t="s">
        <v>25</v>
      </c>
      <c r="G77" s="35" t="s">
        <v>25</v>
      </c>
      <c r="H77" s="35" t="s">
        <v>25</v>
      </c>
      <c r="I77" s="54">
        <v>44531</v>
      </c>
      <c r="J77" s="55">
        <f>EFEITO!$J$77*EFEITO!$Y$62</f>
        <v>0</v>
      </c>
      <c r="K77" s="55">
        <f ca="1">EFEITO!$L$77*EFEITO!$Z$99</f>
        <v>34.792392261535994</v>
      </c>
      <c r="L77" s="55">
        <f>EFEITO!$N$77*EFEITO!$AA$99</f>
        <v>46.542764294269354</v>
      </c>
      <c r="M77" s="55">
        <f>$J$77-EFEITO!$K$77*EFEITO!$Y$77</f>
        <v>0</v>
      </c>
      <c r="N77" s="55">
        <f ca="1">$K$77-EFEITO!$M$77*EFEITO!$Z$77</f>
        <v>22.615054969998397</v>
      </c>
      <c r="O77" s="55">
        <f>$L$77-EFEITO!$O$77*EFEITO!$AA$77</f>
        <v>30.252796791275081</v>
      </c>
      <c r="P77" s="39"/>
      <c r="Q77" s="39"/>
      <c r="R77" s="39"/>
      <c r="S77" s="39"/>
      <c r="T77" s="39"/>
      <c r="U77" s="39"/>
      <c r="V77" s="39"/>
      <c r="W77" s="39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1.25" customHeight="1" x14ac:dyDescent="0.2">
      <c r="A78" s="35" t="s">
        <v>21</v>
      </c>
      <c r="B78" s="35" t="s">
        <v>22</v>
      </c>
      <c r="C78" s="35" t="s">
        <v>23</v>
      </c>
      <c r="D78" s="35" t="s">
        <v>24</v>
      </c>
      <c r="E78" s="35" t="s">
        <v>27</v>
      </c>
      <c r="F78" s="35" t="s">
        <v>25</v>
      </c>
      <c r="G78" s="35" t="s">
        <v>25</v>
      </c>
      <c r="H78" s="35" t="s">
        <v>25</v>
      </c>
      <c r="I78" s="54">
        <v>44562</v>
      </c>
      <c r="J78" s="55">
        <f>EFEITO!$J$78*EFEITO!$Y$62</f>
        <v>0</v>
      </c>
      <c r="K78" s="55">
        <f ca="1">EFEITO!$L$78*EFEITO!$Z$99</f>
        <v>35.151076717840489</v>
      </c>
      <c r="L78" s="55">
        <f>EFEITO!$N$78*EFEITO!$AA$99</f>
        <v>47.022586606581406</v>
      </c>
      <c r="M78" s="55">
        <f>$J$78-EFEITO!$K$78*EFEITO!$Y$78</f>
        <v>0</v>
      </c>
      <c r="N78" s="55">
        <f ca="1">$K$78-EFEITO!$M$78*EFEITO!$Z$78</f>
        <v>22.848199866596318</v>
      </c>
      <c r="O78" s="55">
        <f>$L$78-EFEITO!$O$78*EFEITO!$AA$78</f>
        <v>30.564681294277914</v>
      </c>
      <c r="P78" s="39"/>
      <c r="Q78" s="39"/>
      <c r="R78" s="39"/>
      <c r="S78" s="39"/>
      <c r="T78" s="39"/>
      <c r="U78" s="39"/>
      <c r="V78" s="39"/>
      <c r="W78" s="39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1.25" customHeight="1" x14ac:dyDescent="0.2">
      <c r="A79" s="35" t="s">
        <v>21</v>
      </c>
      <c r="B79" s="35" t="s">
        <v>22</v>
      </c>
      <c r="C79" s="35" t="s">
        <v>23</v>
      </c>
      <c r="D79" s="35" t="s">
        <v>24</v>
      </c>
      <c r="E79" s="35" t="s">
        <v>27</v>
      </c>
      <c r="F79" s="35" t="s">
        <v>25</v>
      </c>
      <c r="G79" s="35" t="s">
        <v>25</v>
      </c>
      <c r="H79" s="35" t="s">
        <v>25</v>
      </c>
      <c r="I79" s="54">
        <v>44593</v>
      </c>
      <c r="J79" s="55">
        <f>EFEITO!$J$79*EFEITO!$Y$62</f>
        <v>0</v>
      </c>
      <c r="K79" s="55">
        <f ca="1">EFEITO!$L$79*EFEITO!$Z$99</f>
        <v>60.43833088730738</v>
      </c>
      <c r="L79" s="55">
        <f>EFEITO!$N$79*EFEITO!$AA$99</f>
        <v>80.850059624581291</v>
      </c>
      <c r="M79" s="55">
        <f>$J$79-EFEITO!$K$79*EFEITO!$Y$79</f>
        <v>0</v>
      </c>
      <c r="N79" s="55">
        <f ca="1">$K$79-EFEITO!$M$79*EFEITO!$Z$79</f>
        <v>39.284915076749797</v>
      </c>
      <c r="O79" s="55">
        <f>$L$79-EFEITO!$O$79*EFEITO!$AA$79</f>
        <v>52.552538755977835</v>
      </c>
      <c r="P79" s="39"/>
      <c r="Q79" s="39"/>
      <c r="R79" s="39"/>
      <c r="S79" s="39"/>
      <c r="T79" s="39"/>
      <c r="U79" s="39"/>
      <c r="V79" s="39"/>
      <c r="W79" s="39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1.25" customHeight="1" x14ac:dyDescent="0.2">
      <c r="A80" s="35" t="s">
        <v>21</v>
      </c>
      <c r="B80" s="35" t="s">
        <v>22</v>
      </c>
      <c r="C80" s="35" t="s">
        <v>23</v>
      </c>
      <c r="D80" s="35" t="s">
        <v>24</v>
      </c>
      <c r="E80" s="35" t="s">
        <v>27</v>
      </c>
      <c r="F80" s="35" t="s">
        <v>25</v>
      </c>
      <c r="G80" s="35" t="s">
        <v>25</v>
      </c>
      <c r="H80" s="35" t="s">
        <v>25</v>
      </c>
      <c r="I80" s="54">
        <v>44621</v>
      </c>
      <c r="J80" s="55">
        <f>EFEITO!$J$80*EFEITO!$Y$62</f>
        <v>0</v>
      </c>
      <c r="K80" s="55">
        <f ca="1">EFEITO!$L$80*EFEITO!$Z$99</f>
        <v>59.182935290241645</v>
      </c>
      <c r="L80" s="55">
        <f>EFEITO!$N$80*EFEITO!$AA$99</f>
        <v>79.170681531489109</v>
      </c>
      <c r="M80" s="55">
        <f>$J$80-EFEITO!$K$80*EFEITO!$Y$80</f>
        <v>0</v>
      </c>
      <c r="N80" s="55">
        <f ca="1">$K$80-EFEITO!$M$80*EFEITO!$Z$80</f>
        <v>38.468907938657068</v>
      </c>
      <c r="O80" s="55">
        <f>$L$80-EFEITO!$O$80*EFEITO!$AA$80</f>
        <v>51.460942995467924</v>
      </c>
      <c r="P80" s="39"/>
      <c r="Q80" s="39"/>
      <c r="R80" s="39"/>
      <c r="S80" s="39"/>
      <c r="T80" s="39"/>
      <c r="U80" s="39"/>
      <c r="V80" s="39"/>
      <c r="W80" s="39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1.25" customHeight="1" x14ac:dyDescent="0.2">
      <c r="A81" s="35" t="s">
        <v>21</v>
      </c>
      <c r="B81" s="35" t="s">
        <v>22</v>
      </c>
      <c r="C81" s="35" t="s">
        <v>23</v>
      </c>
      <c r="D81" s="35" t="s">
        <v>24</v>
      </c>
      <c r="E81" s="35" t="s">
        <v>27</v>
      </c>
      <c r="F81" s="35" t="s">
        <v>25</v>
      </c>
      <c r="G81" s="35" t="s">
        <v>25</v>
      </c>
      <c r="H81" s="35" t="s">
        <v>25</v>
      </c>
      <c r="I81" s="54">
        <v>44652</v>
      </c>
      <c r="J81" s="55">
        <f>EFEITO!$J$81*EFEITO!$Y$62</f>
        <v>0</v>
      </c>
      <c r="K81" s="55">
        <f ca="1">EFEITO!$L$81*EFEITO!$Z$99</f>
        <v>59.182935290241645</v>
      </c>
      <c r="L81" s="55">
        <f>EFEITO!$N$81*EFEITO!$AA$99</f>
        <v>79.170681531489109</v>
      </c>
      <c r="M81" s="55">
        <f>$J$81-EFEITO!$K$81*EFEITO!$Y$81</f>
        <v>0</v>
      </c>
      <c r="N81" s="55">
        <f ca="1">$K$81-EFEITO!$M$81*EFEITO!$Z$81</f>
        <v>38.468907938657068</v>
      </c>
      <c r="O81" s="55">
        <f>$L$81-EFEITO!$O$81*EFEITO!$AA$81</f>
        <v>51.460942995467924</v>
      </c>
      <c r="P81" s="39"/>
      <c r="Q81" s="39"/>
      <c r="R81" s="39"/>
      <c r="S81" s="39"/>
      <c r="T81" s="39"/>
      <c r="U81" s="39"/>
      <c r="V81" s="39"/>
      <c r="W81" s="39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1.25" customHeight="1" x14ac:dyDescent="0.2">
      <c r="A82" s="35" t="s">
        <v>21</v>
      </c>
      <c r="B82" s="35" t="s">
        <v>22</v>
      </c>
      <c r="C82" s="35" t="s">
        <v>23</v>
      </c>
      <c r="D82" s="35" t="s">
        <v>24</v>
      </c>
      <c r="E82" s="35" t="s">
        <v>27</v>
      </c>
      <c r="F82" s="35" t="s">
        <v>25</v>
      </c>
      <c r="G82" s="35" t="s">
        <v>25</v>
      </c>
      <c r="H82" s="35" t="s">
        <v>25</v>
      </c>
      <c r="I82" s="54">
        <v>44682</v>
      </c>
      <c r="J82" s="55">
        <f>EFEITO!$J$82*EFEITO!$Y$62</f>
        <v>0</v>
      </c>
      <c r="K82" s="55">
        <f ca="1">EFEITO!$L$82*EFEITO!$Z$99</f>
        <v>59.182935290241645</v>
      </c>
      <c r="L82" s="55">
        <f>EFEITO!$N$82*EFEITO!$AA$99</f>
        <v>79.170681531489109</v>
      </c>
      <c r="M82" s="55">
        <f>$J$82-EFEITO!$K$82*EFEITO!$Y$82</f>
        <v>0</v>
      </c>
      <c r="N82" s="55">
        <f ca="1">$K$82-EFEITO!$M$82*EFEITO!$Z$82</f>
        <v>38.468907938657068</v>
      </c>
      <c r="O82" s="55">
        <f>$L$82-EFEITO!$O$82*EFEITO!$AA$82</f>
        <v>51.460942995467924</v>
      </c>
      <c r="P82" s="39"/>
      <c r="Q82" s="39"/>
      <c r="R82" s="39"/>
      <c r="S82" s="39"/>
      <c r="T82" s="39"/>
      <c r="U82" s="39"/>
      <c r="V82" s="39"/>
      <c r="W82" s="39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1.25" customHeight="1" x14ac:dyDescent="0.2">
      <c r="A83" s="35" t="s">
        <v>21</v>
      </c>
      <c r="B83" s="35" t="s">
        <v>22</v>
      </c>
      <c r="C83" s="35" t="s">
        <v>23</v>
      </c>
      <c r="D83" s="35" t="s">
        <v>24</v>
      </c>
      <c r="E83" s="35" t="s">
        <v>27</v>
      </c>
      <c r="F83" s="35" t="s">
        <v>25</v>
      </c>
      <c r="G83" s="35" t="s">
        <v>25</v>
      </c>
      <c r="H83" s="35" t="s">
        <v>25</v>
      </c>
      <c r="I83" s="54">
        <v>44713</v>
      </c>
      <c r="J83" s="55">
        <f>EFEITO!$J$83*EFEITO!$Y$62</f>
        <v>0</v>
      </c>
      <c r="K83" s="55">
        <f ca="1">EFEITO!$L$83*EFEITO!$Z$99</f>
        <v>59.182935290241645</v>
      </c>
      <c r="L83" s="55">
        <f>EFEITO!$N$83*EFEITO!$AA$99</f>
        <v>79.170681531489109</v>
      </c>
      <c r="M83" s="55">
        <f>$J$83-EFEITO!$K$83*EFEITO!$Y$83</f>
        <v>0</v>
      </c>
      <c r="N83" s="55">
        <f ca="1">$K$83-EFEITO!$M$83*EFEITO!$Z$83</f>
        <v>38.468907938657068</v>
      </c>
      <c r="O83" s="55">
        <f>$L$83-EFEITO!$O$83*EFEITO!$AA$83</f>
        <v>51.460942995467924</v>
      </c>
      <c r="P83" s="39"/>
      <c r="Q83" s="39"/>
      <c r="R83" s="39"/>
      <c r="S83" s="39"/>
      <c r="T83" s="39"/>
      <c r="U83" s="39"/>
      <c r="V83" s="39"/>
      <c r="W83" s="39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1.25" customHeight="1" x14ac:dyDescent="0.2">
      <c r="A84" s="35" t="s">
        <v>21</v>
      </c>
      <c r="B84" s="35" t="s">
        <v>22</v>
      </c>
      <c r="C84" s="35" t="s">
        <v>23</v>
      </c>
      <c r="D84" s="35" t="s">
        <v>24</v>
      </c>
      <c r="E84" s="35" t="s">
        <v>27</v>
      </c>
      <c r="F84" s="35" t="s">
        <v>25</v>
      </c>
      <c r="G84" s="35" t="s">
        <v>25</v>
      </c>
      <c r="H84" s="35" t="s">
        <v>25</v>
      </c>
      <c r="I84" s="54">
        <v>44743</v>
      </c>
      <c r="J84" s="55">
        <f>EFEITO!$J$84*EFEITO!$Y$62</f>
        <v>0</v>
      </c>
      <c r="K84" s="55">
        <f ca="1">EFEITO!$L$84*EFEITO!$Z$99</f>
        <v>59.182935290241645</v>
      </c>
      <c r="L84" s="55">
        <f>EFEITO!$N$84*EFEITO!$AA$99</f>
        <v>79.170681531489109</v>
      </c>
      <c r="M84" s="55">
        <f>$J$84-EFEITO!$K$84*EFEITO!$Y$84</f>
        <v>0</v>
      </c>
      <c r="N84" s="55">
        <f ca="1">$K$84-EFEITO!$M$84*EFEITO!$Z$84</f>
        <v>38.468907938657068</v>
      </c>
      <c r="O84" s="55">
        <f>$L$84-EFEITO!$O$84*EFEITO!$AA$84</f>
        <v>51.460942995467924</v>
      </c>
      <c r="P84" s="39"/>
      <c r="Q84" s="39"/>
      <c r="R84" s="39"/>
      <c r="S84" s="39"/>
      <c r="T84" s="39"/>
      <c r="U84" s="39"/>
      <c r="V84" s="39"/>
      <c r="W84" s="39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1.25" customHeight="1" x14ac:dyDescent="0.2">
      <c r="A85" s="35" t="s">
        <v>21</v>
      </c>
      <c r="B85" s="35" t="s">
        <v>22</v>
      </c>
      <c r="C85" s="35" t="s">
        <v>23</v>
      </c>
      <c r="D85" s="35" t="s">
        <v>24</v>
      </c>
      <c r="E85" s="35" t="s">
        <v>27</v>
      </c>
      <c r="F85" s="35" t="s">
        <v>25</v>
      </c>
      <c r="G85" s="35" t="s">
        <v>25</v>
      </c>
      <c r="H85" s="35" t="s">
        <v>25</v>
      </c>
      <c r="I85" s="54">
        <v>44774</v>
      </c>
      <c r="J85" s="55">
        <f>EFEITO!$J$85*EFEITO!$Y$62</f>
        <v>0</v>
      </c>
      <c r="K85" s="55">
        <f ca="1">EFEITO!$L$85*EFEITO!$Z$99</f>
        <v>33.178312208165771</v>
      </c>
      <c r="L85" s="55">
        <f>EFEITO!$N$85*EFEITO!$AA$99</f>
        <v>44.383563888865098</v>
      </c>
      <c r="M85" s="55">
        <f>$J$85-EFEITO!$K$85*EFEITO!$Y$85</f>
        <v>0</v>
      </c>
      <c r="N85" s="55">
        <f ca="1">$K$85-EFEITO!$M$85*EFEITO!$Z$85</f>
        <v>21.565902935307754</v>
      </c>
      <c r="O85" s="55">
        <f>$L$85-EFEITO!$O$85*EFEITO!$AA$85</f>
        <v>28.849316527762312</v>
      </c>
      <c r="P85" s="39"/>
      <c r="Q85" s="39"/>
      <c r="R85" s="39"/>
      <c r="S85" s="39"/>
      <c r="T85" s="39"/>
      <c r="U85" s="39"/>
      <c r="V85" s="39"/>
      <c r="W85" s="39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1.25" customHeight="1" x14ac:dyDescent="0.2">
      <c r="A86" s="35" t="s">
        <v>21</v>
      </c>
      <c r="B86" s="35" t="s">
        <v>22</v>
      </c>
      <c r="C86" s="35" t="s">
        <v>23</v>
      </c>
      <c r="D86" s="35" t="s">
        <v>24</v>
      </c>
      <c r="E86" s="35" t="s">
        <v>28</v>
      </c>
      <c r="F86" s="35" t="s">
        <v>25</v>
      </c>
      <c r="G86" s="35" t="s">
        <v>25</v>
      </c>
      <c r="H86" s="35" t="s">
        <v>25</v>
      </c>
      <c r="I86" s="54">
        <v>44440</v>
      </c>
      <c r="J86" s="55">
        <f>EFEITO!$J$86*EFEITO!$Y$62</f>
        <v>0</v>
      </c>
      <c r="K86" s="55">
        <f ca="1">EFEITO!$L$86*EFEITO!$Z$99</f>
        <v>15.423431621093275</v>
      </c>
      <c r="L86" s="55">
        <f>EFEITO!$N$86*EFEITO!$AA$99</f>
        <v>20.632359429418369</v>
      </c>
      <c r="M86" s="55">
        <f>$J$86-EFEITO!$K$86*EFEITO!$Y$86</f>
        <v>0</v>
      </c>
      <c r="N86" s="55">
        <f ca="1">$K$86-EFEITO!$M$86*EFEITO!$Z$86</f>
        <v>6.1693726484373101</v>
      </c>
      <c r="O86" s="55">
        <f>$L$86-EFEITO!$O$86*EFEITO!$AA$86</f>
        <v>8.2529437717673471</v>
      </c>
      <c r="P86" s="39"/>
      <c r="Q86" s="39"/>
      <c r="R86" s="39"/>
      <c r="S86" s="39"/>
      <c r="T86" s="39"/>
      <c r="U86" s="39"/>
      <c r="V86" s="39"/>
      <c r="W86" s="39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1.25" customHeight="1" x14ac:dyDescent="0.2">
      <c r="A87" s="35" t="s">
        <v>21</v>
      </c>
      <c r="B87" s="35" t="s">
        <v>22</v>
      </c>
      <c r="C87" s="35" t="s">
        <v>23</v>
      </c>
      <c r="D87" s="35" t="s">
        <v>24</v>
      </c>
      <c r="E87" s="35" t="s">
        <v>28</v>
      </c>
      <c r="F87" s="35" t="s">
        <v>25</v>
      </c>
      <c r="G87" s="35" t="s">
        <v>25</v>
      </c>
      <c r="H87" s="35" t="s">
        <v>25</v>
      </c>
      <c r="I87" s="54">
        <v>44470</v>
      </c>
      <c r="J87" s="55">
        <f>EFEITO!$J$87*EFEITO!$Y$62</f>
        <v>0</v>
      </c>
      <c r="K87" s="55">
        <f ca="1">EFEITO!$L$87*EFEITO!$Z$99</f>
        <v>79.986633755902346</v>
      </c>
      <c r="L87" s="55">
        <f>EFEITO!$N$87*EFEITO!$AA$99</f>
        <v>107.00037564558831</v>
      </c>
      <c r="M87" s="55">
        <f>$J$87-EFEITO!$K$87*EFEITO!$Y$87</f>
        <v>0</v>
      </c>
      <c r="N87" s="55">
        <f ca="1">$K$87-EFEITO!$M$87*EFEITO!$Z$87</f>
        <v>31.99465350236094</v>
      </c>
      <c r="O87" s="55">
        <f>$L$87-EFEITO!$O$87*EFEITO!$AA$87</f>
        <v>42.800150258235334</v>
      </c>
      <c r="P87" s="39"/>
      <c r="Q87" s="39"/>
      <c r="R87" s="39"/>
      <c r="S87" s="39"/>
      <c r="T87" s="39"/>
      <c r="U87" s="39"/>
      <c r="V87" s="39"/>
      <c r="W87" s="39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1.25" customHeight="1" x14ac:dyDescent="0.2">
      <c r="A88" s="35" t="s">
        <v>21</v>
      </c>
      <c r="B88" s="35" t="s">
        <v>22</v>
      </c>
      <c r="C88" s="35" t="s">
        <v>23</v>
      </c>
      <c r="D88" s="35" t="s">
        <v>24</v>
      </c>
      <c r="E88" s="35" t="s">
        <v>28</v>
      </c>
      <c r="F88" s="35" t="s">
        <v>25</v>
      </c>
      <c r="G88" s="35" t="s">
        <v>25</v>
      </c>
      <c r="H88" s="35" t="s">
        <v>25</v>
      </c>
      <c r="I88" s="54">
        <v>44501</v>
      </c>
      <c r="J88" s="55">
        <f>EFEITO!$J$88*EFEITO!$Y$62</f>
        <v>0</v>
      </c>
      <c r="K88" s="55">
        <f ca="1">EFEITO!$L$88*EFEITO!$Z$99</f>
        <v>65.28057104741805</v>
      </c>
      <c r="L88" s="55">
        <f>EFEITO!$N$88*EFEITO!$AA$99</f>
        <v>87.327660840794039</v>
      </c>
      <c r="M88" s="55">
        <f>$J$88-EFEITO!$K$88*EFEITO!$Y$88</f>
        <v>0</v>
      </c>
      <c r="N88" s="55">
        <f ca="1">$K$88-EFEITO!$M$88*EFEITO!$Z$88</f>
        <v>26.11222841896722</v>
      </c>
      <c r="O88" s="55">
        <f>$L$88-EFEITO!$O$88*EFEITO!$AA$88</f>
        <v>34.931064336317618</v>
      </c>
      <c r="P88" s="39"/>
      <c r="Q88" s="39"/>
      <c r="R88" s="39"/>
      <c r="S88" s="39"/>
      <c r="T88" s="39"/>
      <c r="U88" s="39"/>
      <c r="V88" s="39"/>
      <c r="W88" s="39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1.25" customHeight="1" x14ac:dyDescent="0.2">
      <c r="A89" s="35" t="s">
        <v>21</v>
      </c>
      <c r="B89" s="35" t="s">
        <v>22</v>
      </c>
      <c r="C89" s="35" t="s">
        <v>23</v>
      </c>
      <c r="D89" s="35" t="s">
        <v>24</v>
      </c>
      <c r="E89" s="35" t="s">
        <v>28</v>
      </c>
      <c r="F89" s="35" t="s">
        <v>25</v>
      </c>
      <c r="G89" s="35" t="s">
        <v>25</v>
      </c>
      <c r="H89" s="35" t="s">
        <v>25</v>
      </c>
      <c r="I89" s="54">
        <v>44531</v>
      </c>
      <c r="J89" s="55">
        <f>EFEITO!$J$89*EFEITO!$Y$62</f>
        <v>0</v>
      </c>
      <c r="K89" s="55">
        <f ca="1">EFEITO!$L$89*EFEITO!$Z$99</f>
        <v>58.10688192132816</v>
      </c>
      <c r="L89" s="55">
        <f>EFEITO!$N$89*EFEITO!$AA$99</f>
        <v>77.731214594552938</v>
      </c>
      <c r="M89" s="55">
        <f>$J$89-EFEITO!$K$89*EFEITO!$Y$89</f>
        <v>0</v>
      </c>
      <c r="N89" s="55">
        <f ca="1">$K$89-EFEITO!$M$89*EFEITO!$Z$89</f>
        <v>23.242752768531261</v>
      </c>
      <c r="O89" s="55">
        <f>$L$89-EFEITO!$O$89*EFEITO!$AA$89</f>
        <v>31.092485837821179</v>
      </c>
      <c r="P89" s="39"/>
      <c r="Q89" s="39"/>
      <c r="R89" s="39"/>
      <c r="S89" s="39"/>
      <c r="T89" s="39"/>
      <c r="U89" s="39"/>
      <c r="V89" s="39"/>
      <c r="W89" s="39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1.25" customHeight="1" x14ac:dyDescent="0.2">
      <c r="A90" s="35" t="s">
        <v>21</v>
      </c>
      <c r="B90" s="35" t="s">
        <v>22</v>
      </c>
      <c r="C90" s="35" t="s">
        <v>23</v>
      </c>
      <c r="D90" s="35" t="s">
        <v>24</v>
      </c>
      <c r="E90" s="35" t="s">
        <v>28</v>
      </c>
      <c r="F90" s="35" t="s">
        <v>25</v>
      </c>
      <c r="G90" s="35" t="s">
        <v>25</v>
      </c>
      <c r="H90" s="35" t="s">
        <v>25</v>
      </c>
      <c r="I90" s="54">
        <v>44562</v>
      </c>
      <c r="J90" s="55">
        <f>EFEITO!$J$90*EFEITO!$Y$62</f>
        <v>0</v>
      </c>
      <c r="K90" s="55">
        <f ca="1">EFEITO!$L$90*EFEITO!$Z$99</f>
        <v>88.236376250905721</v>
      </c>
      <c r="L90" s="55">
        <f>EFEITO!$N$90*EFEITO!$AA$99</f>
        <v>118.03628882876556</v>
      </c>
      <c r="M90" s="55">
        <f>$J$90-EFEITO!$K$90*EFEITO!$Y$90</f>
        <v>0</v>
      </c>
      <c r="N90" s="55">
        <f ca="1">$K$90-EFEITO!$M$90*EFEITO!$Z$90</f>
        <v>35.294550500362284</v>
      </c>
      <c r="O90" s="55">
        <f>$L$90-EFEITO!$O$90*EFEITO!$AA$90</f>
        <v>47.214515531506223</v>
      </c>
      <c r="P90" s="39"/>
      <c r="Q90" s="39"/>
      <c r="R90" s="39"/>
      <c r="S90" s="39"/>
      <c r="T90" s="39"/>
      <c r="U90" s="39"/>
      <c r="V90" s="39"/>
      <c r="W90" s="39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1.25" customHeight="1" x14ac:dyDescent="0.2">
      <c r="A91" s="35" t="s">
        <v>21</v>
      </c>
      <c r="B91" s="35" t="s">
        <v>22</v>
      </c>
      <c r="C91" s="35" t="s">
        <v>23</v>
      </c>
      <c r="D91" s="35" t="s">
        <v>24</v>
      </c>
      <c r="E91" s="35" t="s">
        <v>28</v>
      </c>
      <c r="F91" s="35" t="s">
        <v>25</v>
      </c>
      <c r="G91" s="35" t="s">
        <v>25</v>
      </c>
      <c r="H91" s="35" t="s">
        <v>25</v>
      </c>
      <c r="I91" s="54">
        <v>44593</v>
      </c>
      <c r="J91" s="55">
        <f>EFEITO!$J$91*EFEITO!$Y$62</f>
        <v>0</v>
      </c>
      <c r="K91" s="55">
        <f ca="1">EFEITO!$L$91*EFEITO!$Z$99</f>
        <v>101.50770113417202</v>
      </c>
      <c r="L91" s="55">
        <f>EFEITO!$N$91*EFEITO!$AA$99</f>
        <v>135.78971438431159</v>
      </c>
      <c r="M91" s="55">
        <f>$J$91-EFEITO!$K$91*EFEITO!$Y$91</f>
        <v>0</v>
      </c>
      <c r="N91" s="55">
        <f ca="1">$K$91-EFEITO!$M$91*EFEITO!$Z$91</f>
        <v>40.603080453668809</v>
      </c>
      <c r="O91" s="55">
        <f>$L$91-EFEITO!$O$91*EFEITO!$AA$91</f>
        <v>54.315885753724643</v>
      </c>
      <c r="P91" s="39"/>
      <c r="Q91" s="39"/>
      <c r="R91" s="39"/>
      <c r="S91" s="39"/>
      <c r="T91" s="39"/>
      <c r="U91" s="39"/>
      <c r="V91" s="39"/>
      <c r="W91" s="39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1.25" customHeight="1" x14ac:dyDescent="0.2">
      <c r="A92" s="35" t="s">
        <v>21</v>
      </c>
      <c r="B92" s="35" t="s">
        <v>22</v>
      </c>
      <c r="C92" s="35" t="s">
        <v>23</v>
      </c>
      <c r="D92" s="35" t="s">
        <v>24</v>
      </c>
      <c r="E92" s="35" t="s">
        <v>28</v>
      </c>
      <c r="F92" s="35" t="s">
        <v>25</v>
      </c>
      <c r="G92" s="35" t="s">
        <v>25</v>
      </c>
      <c r="H92" s="35" t="s">
        <v>25</v>
      </c>
      <c r="I92" s="54">
        <v>44621</v>
      </c>
      <c r="J92" s="55">
        <f>EFEITO!$J$92*EFEITO!$Y$62</f>
        <v>0</v>
      </c>
      <c r="K92" s="55">
        <f ca="1">EFEITO!$L$92*EFEITO!$Z$99</f>
        <v>90.209140760580439</v>
      </c>
      <c r="L92" s="55">
        <f>EFEITO!$N$92*EFEITO!$AA$99</f>
        <v>120.67531154648186</v>
      </c>
      <c r="M92" s="55">
        <f>$J$92-EFEITO!$K$92*EFEITO!$Y$92</f>
        <v>0</v>
      </c>
      <c r="N92" s="55">
        <f ca="1">$K$92-EFEITO!$M$92*EFEITO!$Z$92</f>
        <v>36.083656304232171</v>
      </c>
      <c r="O92" s="55">
        <f>$L$92-EFEITO!$O$92*EFEITO!$AA$92</f>
        <v>48.270124618592746</v>
      </c>
      <c r="P92" s="39"/>
      <c r="Q92" s="39"/>
      <c r="R92" s="39"/>
      <c r="S92" s="39"/>
      <c r="T92" s="39"/>
      <c r="U92" s="39"/>
      <c r="V92" s="39"/>
      <c r="W92" s="39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1.25" customHeight="1" x14ac:dyDescent="0.2">
      <c r="A93" s="35" t="s">
        <v>21</v>
      </c>
      <c r="B93" s="35" t="s">
        <v>22</v>
      </c>
      <c r="C93" s="35" t="s">
        <v>23</v>
      </c>
      <c r="D93" s="35" t="s">
        <v>24</v>
      </c>
      <c r="E93" s="35" t="s">
        <v>28</v>
      </c>
      <c r="F93" s="35" t="s">
        <v>25</v>
      </c>
      <c r="G93" s="35" t="s">
        <v>25</v>
      </c>
      <c r="H93" s="35" t="s">
        <v>25</v>
      </c>
      <c r="I93" s="54">
        <v>44652</v>
      </c>
      <c r="J93" s="55">
        <f>EFEITO!$J$93*EFEITO!$Y$62</f>
        <v>0</v>
      </c>
      <c r="K93" s="55">
        <f ca="1">EFEITO!$L$93*EFEITO!$Z$99</f>
        <v>101.50770113417202</v>
      </c>
      <c r="L93" s="55">
        <f>EFEITO!$N$93*EFEITO!$AA$99</f>
        <v>135.78971438431159</v>
      </c>
      <c r="M93" s="55">
        <f>$J$93-EFEITO!$K$93*EFEITO!$Y$93</f>
        <v>0</v>
      </c>
      <c r="N93" s="55">
        <f ca="1">$K$93-EFEITO!$M$93*EFEITO!$Z$93</f>
        <v>40.603080453668809</v>
      </c>
      <c r="O93" s="55">
        <f>$L$93-EFEITO!$O$93*EFEITO!$AA$93</f>
        <v>54.315885753724643</v>
      </c>
      <c r="P93" s="39"/>
      <c r="Q93" s="39"/>
      <c r="R93" s="39"/>
      <c r="S93" s="39"/>
      <c r="T93" s="39"/>
      <c r="U93" s="39"/>
      <c r="V93" s="39"/>
      <c r="W93" s="39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1.25" customHeight="1" x14ac:dyDescent="0.2">
      <c r="A94" s="35" t="s">
        <v>21</v>
      </c>
      <c r="B94" s="35" t="s">
        <v>22</v>
      </c>
      <c r="C94" s="35" t="s">
        <v>23</v>
      </c>
      <c r="D94" s="35" t="s">
        <v>24</v>
      </c>
      <c r="E94" s="35" t="s">
        <v>28</v>
      </c>
      <c r="F94" s="35" t="s">
        <v>25</v>
      </c>
      <c r="G94" s="35" t="s">
        <v>25</v>
      </c>
      <c r="H94" s="35" t="s">
        <v>25</v>
      </c>
      <c r="I94" s="54">
        <v>44682</v>
      </c>
      <c r="J94" s="55">
        <f>EFEITO!$J$94*EFEITO!$Y$62</f>
        <v>0</v>
      </c>
      <c r="K94" s="55">
        <f ca="1">EFEITO!$L$94*EFEITO!$Z$99</f>
        <v>69.764126751224239</v>
      </c>
      <c r="L94" s="55">
        <f>EFEITO!$N$94*EFEITO!$AA$99</f>
        <v>93.325439744694734</v>
      </c>
      <c r="M94" s="55">
        <f>$J$94-EFEITO!$K$94*EFEITO!$Y$94</f>
        <v>0</v>
      </c>
      <c r="N94" s="55">
        <f ca="1">$K$94-EFEITO!$M$94*EFEITO!$Z$94</f>
        <v>27.905650700489694</v>
      </c>
      <c r="O94" s="55">
        <f>$L$94-EFEITO!$O$94*EFEITO!$AA$94</f>
        <v>37.330175897877901</v>
      </c>
      <c r="P94" s="39"/>
      <c r="Q94" s="39"/>
      <c r="R94" s="39"/>
      <c r="S94" s="39"/>
      <c r="T94" s="39"/>
      <c r="U94" s="39"/>
      <c r="V94" s="39"/>
      <c r="W94" s="39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1.25" customHeight="1" x14ac:dyDescent="0.2">
      <c r="A95" s="35" t="s">
        <v>21</v>
      </c>
      <c r="B95" s="35" t="s">
        <v>22</v>
      </c>
      <c r="C95" s="35" t="s">
        <v>23</v>
      </c>
      <c r="D95" s="35" t="s">
        <v>24</v>
      </c>
      <c r="E95" s="35" t="s">
        <v>28</v>
      </c>
      <c r="F95" s="35" t="s">
        <v>25</v>
      </c>
      <c r="G95" s="35" t="s">
        <v>25</v>
      </c>
      <c r="H95" s="35" t="s">
        <v>25</v>
      </c>
      <c r="I95" s="54">
        <v>44713</v>
      </c>
      <c r="J95" s="55">
        <f>EFEITO!$J$95*EFEITO!$Y$62</f>
        <v>0</v>
      </c>
      <c r="K95" s="55">
        <f ca="1">EFEITO!$L$95*EFEITO!$Z$99</f>
        <v>76.041104736552896</v>
      </c>
      <c r="L95" s="55">
        <f>EFEITO!$N$95*EFEITO!$AA$99</f>
        <v>101.72233021015569</v>
      </c>
      <c r="M95" s="55">
        <f>$J$95-EFEITO!$K$95*EFEITO!$Y$95</f>
        <v>0</v>
      </c>
      <c r="N95" s="55">
        <f ca="1">$K$95-EFEITO!$M$95*EFEITO!$Z$95</f>
        <v>30.416441894621158</v>
      </c>
      <c r="O95" s="55">
        <f>$L$95-EFEITO!$O$95*EFEITO!$AA$95</f>
        <v>40.68893208406228</v>
      </c>
      <c r="P95" s="39"/>
      <c r="Q95" s="39"/>
      <c r="R95" s="39"/>
      <c r="S95" s="39"/>
      <c r="T95" s="39"/>
      <c r="U95" s="39"/>
      <c r="V95" s="39"/>
      <c r="W95" s="39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1.25" customHeight="1" x14ac:dyDescent="0.2">
      <c r="A96" s="35" t="s">
        <v>21</v>
      </c>
      <c r="B96" s="35" t="s">
        <v>22</v>
      </c>
      <c r="C96" s="35" t="s">
        <v>23</v>
      </c>
      <c r="D96" s="35" t="s">
        <v>24</v>
      </c>
      <c r="E96" s="35" t="s">
        <v>28</v>
      </c>
      <c r="F96" s="35" t="s">
        <v>25</v>
      </c>
      <c r="G96" s="35" t="s">
        <v>25</v>
      </c>
      <c r="H96" s="35" t="s">
        <v>25</v>
      </c>
      <c r="I96" s="54">
        <v>44743</v>
      </c>
      <c r="J96" s="55">
        <f>EFEITO!$J$96*EFEITO!$Y$62</f>
        <v>0</v>
      </c>
      <c r="K96" s="55">
        <f ca="1">EFEITO!$L$96*EFEITO!$Z$99</f>
        <v>59.72096197469839</v>
      </c>
      <c r="L96" s="55">
        <f>EFEITO!$N$96*EFEITO!$AA$99</f>
        <v>79.890414999957187</v>
      </c>
      <c r="M96" s="55">
        <f>$J$96-EFEITO!$K$96*EFEITO!$Y$96</f>
        <v>0</v>
      </c>
      <c r="N96" s="55">
        <f ca="1">$K$96-EFEITO!$M$96*EFEITO!$Z$96</f>
        <v>23.888384789879353</v>
      </c>
      <c r="O96" s="55">
        <f>$L$96-EFEITO!$O$96*EFEITO!$AA$96</f>
        <v>31.956165999982879</v>
      </c>
      <c r="P96" s="39"/>
      <c r="Q96" s="39"/>
      <c r="R96" s="39"/>
      <c r="S96" s="39"/>
      <c r="T96" s="39"/>
      <c r="U96" s="39"/>
      <c r="V96" s="39"/>
      <c r="W96" s="39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1.25" customHeight="1" x14ac:dyDescent="0.2">
      <c r="A97" s="35" t="s">
        <v>21</v>
      </c>
      <c r="B97" s="35" t="s">
        <v>22</v>
      </c>
      <c r="C97" s="35" t="s">
        <v>23</v>
      </c>
      <c r="D97" s="35" t="s">
        <v>24</v>
      </c>
      <c r="E97" s="35" t="s">
        <v>28</v>
      </c>
      <c r="F97" s="35" t="s">
        <v>25</v>
      </c>
      <c r="G97" s="35" t="s">
        <v>25</v>
      </c>
      <c r="H97" s="35" t="s">
        <v>25</v>
      </c>
      <c r="I97" s="54">
        <v>44774</v>
      </c>
      <c r="J97" s="55">
        <f>EFEITO!$J$97*EFEITO!$Y$62</f>
        <v>0</v>
      </c>
      <c r="K97" s="55">
        <f ca="1">EFEITO!$L$97*EFEITO!$Z$99</f>
        <v>57.210170780566919</v>
      </c>
      <c r="L97" s="55">
        <f>EFEITO!$N$97*EFEITO!$AA$99</f>
        <v>76.531658813772793</v>
      </c>
      <c r="M97" s="55">
        <f>$J$97-EFEITO!$K$97*EFEITO!$Y$97</f>
        <v>0</v>
      </c>
      <c r="N97" s="55">
        <f ca="1">$K$97-EFEITO!$M$97*EFEITO!$Z$97</f>
        <v>22.884068312226766</v>
      </c>
      <c r="O97" s="55">
        <f>$L$97-EFEITO!$O$97*EFEITO!$AA$97</f>
        <v>30.61266352550912</v>
      </c>
      <c r="P97" s="39"/>
      <c r="Q97" s="39"/>
      <c r="R97" s="39"/>
      <c r="S97" s="39"/>
      <c r="T97" s="39"/>
      <c r="U97" s="39"/>
      <c r="V97" s="39"/>
      <c r="W97" s="39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1.25" customHeight="1" x14ac:dyDescent="0.2">
      <c r="A98" s="35" t="s">
        <v>21</v>
      </c>
      <c r="B98" s="35" t="s">
        <v>22</v>
      </c>
      <c r="C98" s="35" t="s">
        <v>23</v>
      </c>
      <c r="D98" s="35" t="s">
        <v>24</v>
      </c>
      <c r="E98" s="35" t="s">
        <v>29</v>
      </c>
      <c r="F98" s="35" t="s">
        <v>25</v>
      </c>
      <c r="G98" s="35" t="s">
        <v>25</v>
      </c>
      <c r="H98" s="35" t="s">
        <v>25</v>
      </c>
      <c r="I98" s="54">
        <v>44440</v>
      </c>
      <c r="J98" s="55">
        <f>EFEITO!$J$98*EFEITO!$Y$62</f>
        <v>0</v>
      </c>
      <c r="K98" s="55">
        <f ca="1">EFEITO!$L$98*EFEITO!$Z$99</f>
        <v>21.521067378269688</v>
      </c>
      <c r="L98" s="55">
        <f>EFEITO!$N$98*EFEITO!$AA$99</f>
        <v>28.789338738723309</v>
      </c>
      <c r="M98" s="55">
        <f>$J$98-EFEITO!$K$98*EFEITO!$Y$98</f>
        <v>0</v>
      </c>
      <c r="N98" s="55">
        <f ca="1">$K$98-EFEITO!$M$98*EFEITO!$Z$98</f>
        <v>2.1521067378269692</v>
      </c>
      <c r="O98" s="55">
        <f>$L$98-EFEITO!$O$98*EFEITO!$AA$98</f>
        <v>2.8789338738723309</v>
      </c>
      <c r="P98" s="39"/>
      <c r="Q98" s="39"/>
      <c r="R98" s="39"/>
      <c r="S98" s="39"/>
      <c r="T98" s="39"/>
      <c r="U98" s="39"/>
      <c r="V98" s="39"/>
      <c r="W98" s="39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1.25" customHeight="1" x14ac:dyDescent="0.2">
      <c r="A99" s="35" t="s">
        <v>21</v>
      </c>
      <c r="B99" s="35" t="s">
        <v>22</v>
      </c>
      <c r="C99" s="35" t="s">
        <v>23</v>
      </c>
      <c r="D99" s="35" t="s">
        <v>24</v>
      </c>
      <c r="E99" s="35" t="s">
        <v>30</v>
      </c>
      <c r="F99" s="35" t="s">
        <v>25</v>
      </c>
      <c r="G99" s="35" t="s">
        <v>25</v>
      </c>
      <c r="H99" s="35" t="s">
        <v>25</v>
      </c>
      <c r="I99" s="54">
        <v>44440</v>
      </c>
      <c r="J99" s="55">
        <f>EFEITO!$J$99*EFEITO!$Y$62</f>
        <v>0</v>
      </c>
      <c r="K99" s="55">
        <f ca="1">EFEITO!$L$99*EFEITO!$Z$99</f>
        <v>57.210170780566919</v>
      </c>
      <c r="L99" s="55">
        <f>EFEITO!$N$99*EFEITO!$AA$99</f>
        <v>76.531658813772793</v>
      </c>
      <c r="M99" s="55">
        <f>$J$99-EFEITO!$K$99*EFEITO!$Y$99</f>
        <v>0</v>
      </c>
      <c r="N99" s="55">
        <f ca="1">$K$99-EFEITO!$M$99*EFEITO!$Z$99</f>
        <v>0</v>
      </c>
      <c r="O99" s="55">
        <f>$L$99-EFEITO!$O$99*EFEITO!$AA$99</f>
        <v>0</v>
      </c>
      <c r="P99" s="39"/>
      <c r="Q99" s="39"/>
      <c r="R99" s="39"/>
      <c r="S99" s="39"/>
      <c r="T99" s="39"/>
      <c r="U99" s="39"/>
      <c r="V99" s="39"/>
      <c r="W99" s="39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1.25" customHeight="1" x14ac:dyDescent="0.2">
      <c r="A100" s="35" t="s">
        <v>21</v>
      </c>
      <c r="B100" s="35" t="s">
        <v>39</v>
      </c>
      <c r="C100" s="35" t="s">
        <v>23</v>
      </c>
      <c r="D100" s="35" t="s">
        <v>40</v>
      </c>
      <c r="E100" s="35" t="s">
        <v>25</v>
      </c>
      <c r="F100" s="35" t="s">
        <v>25</v>
      </c>
      <c r="G100" s="35" t="s">
        <v>25</v>
      </c>
      <c r="H100" s="35" t="s">
        <v>25</v>
      </c>
      <c r="I100" s="54">
        <v>44440</v>
      </c>
      <c r="J100" s="55">
        <f>EFEITO!$J$100*EFEITO!$Y$62</f>
        <v>0</v>
      </c>
      <c r="K100" s="55">
        <f ca="1">EFEITO!$L$100*EFEITO!$Z$62</f>
        <v>15136.417519456012</v>
      </c>
      <c r="L100" s="55">
        <f>EFEITO!$N$100*EFEITO!$AA$62</f>
        <v>12990.949194692737</v>
      </c>
      <c r="M100" s="55">
        <f>$J$100-EFEITO!$K$100*EFEITO!$Y$100</f>
        <v>0</v>
      </c>
      <c r="N100" s="55">
        <f ca="1">$K$100-EFEITO!$M$100*EFEITO!$Z$100</f>
        <v>908.18505116736196</v>
      </c>
      <c r="O100" s="55">
        <f>$L$100-EFEITO!$O$100*EFEITO!$AA$100</f>
        <v>779.45695168156635</v>
      </c>
      <c r="P100" s="39"/>
      <c r="Q100" s="39"/>
      <c r="R100" s="39"/>
      <c r="S100" s="39"/>
      <c r="T100" s="39"/>
      <c r="U100" s="39"/>
      <c r="V100" s="39"/>
      <c r="W100" s="39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1.25" customHeight="1" x14ac:dyDescent="0.2">
      <c r="A101" s="35" t="s">
        <v>21</v>
      </c>
      <c r="B101" s="35" t="s">
        <v>39</v>
      </c>
      <c r="C101" s="35" t="s">
        <v>23</v>
      </c>
      <c r="D101" s="35" t="s">
        <v>40</v>
      </c>
      <c r="E101" s="35" t="s">
        <v>25</v>
      </c>
      <c r="F101" s="35" t="s">
        <v>25</v>
      </c>
      <c r="G101" s="35" t="s">
        <v>25</v>
      </c>
      <c r="H101" s="35" t="s">
        <v>25</v>
      </c>
      <c r="I101" s="54">
        <v>44470</v>
      </c>
      <c r="J101" s="55">
        <f>EFEITO!$J$101*EFEITO!$Y$62</f>
        <v>0</v>
      </c>
      <c r="K101" s="55">
        <f ca="1">EFEITO!$L$101*EFEITO!$Z$62</f>
        <v>15054.793963791435</v>
      </c>
      <c r="L101" s="55">
        <f>EFEITO!$N$101*EFEITO!$AA$62</f>
        <v>12920.895137095176</v>
      </c>
      <c r="M101" s="55">
        <f>$J$101-EFEITO!$K$101*EFEITO!$Y$101</f>
        <v>0</v>
      </c>
      <c r="N101" s="55">
        <f ca="1">$K$101-EFEITO!$M$101*EFEITO!$Z$101</f>
        <v>903.28763782748865</v>
      </c>
      <c r="O101" s="55">
        <f>$L$101-EFEITO!$O$101*EFEITO!$AA$101</f>
        <v>775.25370822571131</v>
      </c>
      <c r="P101" s="39"/>
      <c r="Q101" s="39"/>
      <c r="R101" s="39"/>
      <c r="S101" s="39"/>
      <c r="T101" s="39"/>
      <c r="U101" s="39"/>
      <c r="V101" s="39"/>
      <c r="W101" s="39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1.25" customHeight="1" x14ac:dyDescent="0.2">
      <c r="A102" s="35" t="s">
        <v>21</v>
      </c>
      <c r="B102" s="35" t="s">
        <v>39</v>
      </c>
      <c r="C102" s="35" t="s">
        <v>23</v>
      </c>
      <c r="D102" s="35" t="s">
        <v>40</v>
      </c>
      <c r="E102" s="35" t="s">
        <v>25</v>
      </c>
      <c r="F102" s="35" t="s">
        <v>25</v>
      </c>
      <c r="G102" s="35" t="s">
        <v>25</v>
      </c>
      <c r="H102" s="35" t="s">
        <v>25</v>
      </c>
      <c r="I102" s="54">
        <v>44501</v>
      </c>
      <c r="J102" s="55">
        <f>EFEITO!$J$102*EFEITO!$Y$62</f>
        <v>0</v>
      </c>
      <c r="K102" s="55">
        <f ca="1">EFEITO!$L$102*EFEITO!$Z$62</f>
        <v>15109.861910592537</v>
      </c>
      <c r="L102" s="55">
        <f>EFEITO!$N$102*EFEITO!$AA$62</f>
        <v>12968.157634857915</v>
      </c>
      <c r="M102" s="55">
        <f>$J$102-EFEITO!$K$102*EFEITO!$Y$102</f>
        <v>0</v>
      </c>
      <c r="N102" s="55">
        <f ca="1">$K$102-EFEITO!$M$102*EFEITO!$Z$102</f>
        <v>906.59171463555322</v>
      </c>
      <c r="O102" s="55">
        <f>$L$102-EFEITO!$O$102*EFEITO!$AA$102</f>
        <v>778.08945809147554</v>
      </c>
      <c r="P102" s="39"/>
      <c r="Q102" s="39"/>
      <c r="R102" s="39"/>
      <c r="S102" s="39"/>
      <c r="T102" s="39"/>
      <c r="U102" s="39"/>
      <c r="V102" s="39"/>
      <c r="W102" s="39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1.25" customHeight="1" x14ac:dyDescent="0.2">
      <c r="A103" s="35" t="s">
        <v>21</v>
      </c>
      <c r="B103" s="35" t="s">
        <v>39</v>
      </c>
      <c r="C103" s="35" t="s">
        <v>23</v>
      </c>
      <c r="D103" s="35" t="s">
        <v>40</v>
      </c>
      <c r="E103" s="35" t="s">
        <v>25</v>
      </c>
      <c r="F103" s="35" t="s">
        <v>25</v>
      </c>
      <c r="G103" s="35" t="s">
        <v>25</v>
      </c>
      <c r="H103" s="35" t="s">
        <v>25</v>
      </c>
      <c r="I103" s="54">
        <v>44531</v>
      </c>
      <c r="J103" s="55">
        <f>EFEITO!$J$103*EFEITO!$Y$62</f>
        <v>0</v>
      </c>
      <c r="K103" s="55">
        <f ca="1">EFEITO!$L$103*EFEITO!$Z$62</f>
        <v>15486.392491004128</v>
      </c>
      <c r="L103" s="55">
        <f>EFEITO!$N$103*EFEITO!$AA$62</f>
        <v>13291.317962200084</v>
      </c>
      <c r="M103" s="55">
        <f>$J$103-EFEITO!$K$103*EFEITO!$Y$103</f>
        <v>0</v>
      </c>
      <c r="N103" s="55">
        <f ca="1">$K$103-EFEITO!$M$103*EFEITO!$Z$103</f>
        <v>929.1835494602492</v>
      </c>
      <c r="O103" s="55">
        <f>$L$103-EFEITO!$O$103*EFEITO!$AA$103</f>
        <v>797.47907773200677</v>
      </c>
      <c r="P103" s="39"/>
      <c r="Q103" s="39"/>
      <c r="R103" s="39"/>
      <c r="S103" s="39"/>
      <c r="T103" s="39"/>
      <c r="U103" s="39"/>
      <c r="V103" s="39"/>
      <c r="W103" s="39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1.25" customHeight="1" x14ac:dyDescent="0.2">
      <c r="A104" s="35" t="s">
        <v>21</v>
      </c>
      <c r="B104" s="35" t="s">
        <v>39</v>
      </c>
      <c r="C104" s="35" t="s">
        <v>23</v>
      </c>
      <c r="D104" s="35" t="s">
        <v>40</v>
      </c>
      <c r="E104" s="35" t="s">
        <v>25</v>
      </c>
      <c r="F104" s="35" t="s">
        <v>25</v>
      </c>
      <c r="G104" s="35" t="s">
        <v>25</v>
      </c>
      <c r="H104" s="35" t="s">
        <v>25</v>
      </c>
      <c r="I104" s="54">
        <v>44562</v>
      </c>
      <c r="J104" s="55">
        <f>EFEITO!$J$104*EFEITO!$Y$62</f>
        <v>0</v>
      </c>
      <c r="K104" s="55">
        <f ca="1">EFEITO!$L$104*EFEITO!$Z$62</f>
        <v>17311.741184461953</v>
      </c>
      <c r="L104" s="55">
        <f>EFEITO!$N$104*EFEITO!$AA$62</f>
        <v>14857.937811898943</v>
      </c>
      <c r="M104" s="55">
        <f>$J$104-EFEITO!$K$104*EFEITO!$Y$104</f>
        <v>0</v>
      </c>
      <c r="N104" s="55">
        <f ca="1">$K$104-EFEITO!$M$104*EFEITO!$Z$104</f>
        <v>1038.7044710677201</v>
      </c>
      <c r="O104" s="55">
        <f>$L$104-EFEITO!$O$104*EFEITO!$AA$104</f>
        <v>891.47626871393732</v>
      </c>
      <c r="P104" s="39"/>
      <c r="Q104" s="39"/>
      <c r="R104" s="39"/>
      <c r="S104" s="39"/>
      <c r="T104" s="39"/>
      <c r="U104" s="39"/>
      <c r="V104" s="39"/>
      <c r="W104" s="39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1.25" customHeight="1" x14ac:dyDescent="0.2">
      <c r="A105" s="35" t="s">
        <v>21</v>
      </c>
      <c r="B105" s="35" t="s">
        <v>39</v>
      </c>
      <c r="C105" s="35" t="s">
        <v>23</v>
      </c>
      <c r="D105" s="35" t="s">
        <v>40</v>
      </c>
      <c r="E105" s="35" t="s">
        <v>25</v>
      </c>
      <c r="F105" s="35" t="s">
        <v>25</v>
      </c>
      <c r="G105" s="35" t="s">
        <v>25</v>
      </c>
      <c r="H105" s="35" t="s">
        <v>25</v>
      </c>
      <c r="I105" s="54">
        <v>44593</v>
      </c>
      <c r="J105" s="55">
        <f>EFEITO!$J$105*EFEITO!$Y$62</f>
        <v>0</v>
      </c>
      <c r="K105" s="55">
        <f ca="1">EFEITO!$L$105*EFEITO!$Z$62</f>
        <v>17205.798281732928</v>
      </c>
      <c r="L105" s="55">
        <f>EFEITO!$N$105*EFEITO!$AA$62</f>
        <v>14767.011483715809</v>
      </c>
      <c r="M105" s="55">
        <f>$J$105-EFEITO!$K$105*EFEITO!$Y$105</f>
        <v>0</v>
      </c>
      <c r="N105" s="55">
        <f ca="1">$K$105-EFEITO!$M$105*EFEITO!$Z$105</f>
        <v>1032.3478969039752</v>
      </c>
      <c r="O105" s="55">
        <f>$L$105-EFEITO!$O$105*EFEITO!$AA$105</f>
        <v>886.02068902294923</v>
      </c>
      <c r="P105" s="39"/>
      <c r="Q105" s="39"/>
      <c r="R105" s="39"/>
      <c r="S105" s="39"/>
      <c r="T105" s="39"/>
      <c r="U105" s="39"/>
      <c r="V105" s="39"/>
      <c r="W105" s="39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1.25" customHeight="1" x14ac:dyDescent="0.2">
      <c r="A106" s="35" t="s">
        <v>21</v>
      </c>
      <c r="B106" s="35" t="s">
        <v>39</v>
      </c>
      <c r="C106" s="35" t="s">
        <v>23</v>
      </c>
      <c r="D106" s="35" t="s">
        <v>40</v>
      </c>
      <c r="E106" s="35" t="s">
        <v>25</v>
      </c>
      <c r="F106" s="35" t="s">
        <v>25</v>
      </c>
      <c r="G106" s="35" t="s">
        <v>25</v>
      </c>
      <c r="H106" s="35" t="s">
        <v>25</v>
      </c>
      <c r="I106" s="54">
        <v>44621</v>
      </c>
      <c r="J106" s="55">
        <f>EFEITO!$J$106*EFEITO!$Y$62</f>
        <v>0</v>
      </c>
      <c r="K106" s="55">
        <f ca="1">EFEITO!$L$106*EFEITO!$Z$62</f>
        <v>15694.085305588991</v>
      </c>
      <c r="L106" s="55">
        <f>EFEITO!$N$106*EFEITO!$AA$62</f>
        <v>13469.571951224012</v>
      </c>
      <c r="M106" s="55">
        <f>$J$106-EFEITO!$K$106*EFEITO!$Y$106</f>
        <v>0</v>
      </c>
      <c r="N106" s="55">
        <f ca="1">$K$106-EFEITO!$M$106*EFEITO!$Z$106</f>
        <v>941.64511833534016</v>
      </c>
      <c r="O106" s="55">
        <f>$L$106-EFEITO!$O$106*EFEITO!$AA$106</f>
        <v>808.17431707344258</v>
      </c>
      <c r="P106" s="39"/>
      <c r="Q106" s="39"/>
      <c r="R106" s="39"/>
      <c r="S106" s="39"/>
      <c r="T106" s="39"/>
      <c r="U106" s="39"/>
      <c r="V106" s="39"/>
      <c r="W106" s="39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1.25" customHeight="1" x14ac:dyDescent="0.2">
      <c r="A107" s="35" t="s">
        <v>21</v>
      </c>
      <c r="B107" s="35" t="s">
        <v>39</v>
      </c>
      <c r="C107" s="35" t="s">
        <v>23</v>
      </c>
      <c r="D107" s="35" t="s">
        <v>40</v>
      </c>
      <c r="E107" s="35" t="s">
        <v>25</v>
      </c>
      <c r="F107" s="35" t="s">
        <v>25</v>
      </c>
      <c r="G107" s="35" t="s">
        <v>25</v>
      </c>
      <c r="H107" s="35" t="s">
        <v>25</v>
      </c>
      <c r="I107" s="54">
        <v>44652</v>
      </c>
      <c r="J107" s="55">
        <f>EFEITO!$J$107*EFEITO!$Y$62</f>
        <v>0</v>
      </c>
      <c r="K107" s="55">
        <f ca="1">EFEITO!$L$107*EFEITO!$Z$62</f>
        <v>16414.441137601367</v>
      </c>
      <c r="L107" s="55">
        <f>EFEITO!$N$107*EFEITO!$AA$62</f>
        <v>14087.823000638095</v>
      </c>
      <c r="M107" s="55">
        <f>$J$107-EFEITO!$K$107*EFEITO!$Y$107</f>
        <v>0</v>
      </c>
      <c r="N107" s="55">
        <f ca="1">$K$107-EFEITO!$M$107*EFEITO!$Z$107</f>
        <v>984.86646825608295</v>
      </c>
      <c r="O107" s="55">
        <f>$L$107-EFEITO!$O$107*EFEITO!$AA$107</f>
        <v>845.26938003828764</v>
      </c>
      <c r="P107" s="39"/>
      <c r="Q107" s="39"/>
      <c r="R107" s="39"/>
      <c r="S107" s="39"/>
      <c r="T107" s="39"/>
      <c r="U107" s="39"/>
      <c r="V107" s="39"/>
      <c r="W107" s="39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1.25" customHeight="1" x14ac:dyDescent="0.2">
      <c r="A108" s="35" t="s">
        <v>21</v>
      </c>
      <c r="B108" s="35" t="s">
        <v>39</v>
      </c>
      <c r="C108" s="35" t="s">
        <v>23</v>
      </c>
      <c r="D108" s="35" t="s">
        <v>40</v>
      </c>
      <c r="E108" s="35" t="s">
        <v>25</v>
      </c>
      <c r="F108" s="35" t="s">
        <v>25</v>
      </c>
      <c r="G108" s="35" t="s">
        <v>25</v>
      </c>
      <c r="H108" s="35" t="s">
        <v>25</v>
      </c>
      <c r="I108" s="54">
        <v>44682</v>
      </c>
      <c r="J108" s="55">
        <f>EFEITO!$J$108*EFEITO!$Y$62</f>
        <v>0</v>
      </c>
      <c r="K108" s="55">
        <f ca="1">EFEITO!$L$108*EFEITO!$Z$62</f>
        <v>14515.016272050691</v>
      </c>
      <c r="L108" s="55">
        <f>EFEITO!$N$108*EFEITO!$AA$62</f>
        <v>12457.626694557888</v>
      </c>
      <c r="M108" s="55">
        <f>$J$108-EFEITO!$K$108*EFEITO!$Y$108</f>
        <v>0</v>
      </c>
      <c r="N108" s="55">
        <f ca="1">$K$108-EFEITO!$M$108*EFEITO!$Z$108</f>
        <v>870.90097632304241</v>
      </c>
      <c r="O108" s="55">
        <f>$L$108-EFEITO!$O$108*EFEITO!$AA$108</f>
        <v>747.45760167347544</v>
      </c>
      <c r="P108" s="39"/>
      <c r="Q108" s="39"/>
      <c r="R108" s="39"/>
      <c r="S108" s="39"/>
      <c r="T108" s="39"/>
      <c r="U108" s="39"/>
      <c r="V108" s="39"/>
      <c r="W108" s="39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1.25" customHeight="1" x14ac:dyDescent="0.2">
      <c r="A109" s="35" t="s">
        <v>21</v>
      </c>
      <c r="B109" s="35" t="s">
        <v>39</v>
      </c>
      <c r="C109" s="35" t="s">
        <v>23</v>
      </c>
      <c r="D109" s="35" t="s">
        <v>40</v>
      </c>
      <c r="E109" s="35" t="s">
        <v>25</v>
      </c>
      <c r="F109" s="35" t="s">
        <v>25</v>
      </c>
      <c r="G109" s="35" t="s">
        <v>25</v>
      </c>
      <c r="H109" s="35" t="s">
        <v>25</v>
      </c>
      <c r="I109" s="54">
        <v>44713</v>
      </c>
      <c r="J109" s="55">
        <f>EFEITO!$J$109*EFEITO!$Y$62</f>
        <v>0</v>
      </c>
      <c r="K109" s="55">
        <f ca="1">EFEITO!$L$109*EFEITO!$Z$62</f>
        <v>15300.5032289598</v>
      </c>
      <c r="L109" s="55">
        <f>EFEITO!$N$109*EFEITO!$AA$62</f>
        <v>13131.777043356324</v>
      </c>
      <c r="M109" s="55">
        <f>$J$109-EFEITO!$K$109*EFEITO!$Y$109</f>
        <v>0</v>
      </c>
      <c r="N109" s="55">
        <f ca="1">$K$109-EFEITO!$M$109*EFEITO!$Z$109</f>
        <v>918.0301937375898</v>
      </c>
      <c r="O109" s="55">
        <f>$L$109-EFEITO!$O$109*EFEITO!$AA$109</f>
        <v>787.90662260138015</v>
      </c>
      <c r="P109" s="39"/>
      <c r="Q109" s="39"/>
      <c r="R109" s="39"/>
      <c r="S109" s="39"/>
      <c r="T109" s="39"/>
      <c r="U109" s="39"/>
      <c r="V109" s="39"/>
      <c r="W109" s="39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1.25" customHeight="1" x14ac:dyDescent="0.2">
      <c r="A110" s="35" t="s">
        <v>21</v>
      </c>
      <c r="B110" s="35" t="s">
        <v>39</v>
      </c>
      <c r="C110" s="35" t="s">
        <v>23</v>
      </c>
      <c r="D110" s="35" t="s">
        <v>40</v>
      </c>
      <c r="E110" s="35" t="s">
        <v>25</v>
      </c>
      <c r="F110" s="35" t="s">
        <v>25</v>
      </c>
      <c r="G110" s="35" t="s">
        <v>25</v>
      </c>
      <c r="H110" s="35" t="s">
        <v>25</v>
      </c>
      <c r="I110" s="54">
        <v>44743</v>
      </c>
      <c r="J110" s="55">
        <f>EFEITO!$J$110*EFEITO!$Y$62</f>
        <v>0</v>
      </c>
      <c r="K110" s="55">
        <f ca="1">EFEITO!$L$110*EFEITO!$Z$62</f>
        <v>14998.887418815697</v>
      </c>
      <c r="L110" s="55">
        <f>EFEITO!$N$110*EFEITO!$AA$62</f>
        <v>12872.91290586397</v>
      </c>
      <c r="M110" s="55">
        <f>$J$110-EFEITO!$K$110*EFEITO!$Y$110</f>
        <v>0</v>
      </c>
      <c r="N110" s="55">
        <f ca="1">$K$110-EFEITO!$M$110*EFEITO!$Z$110</f>
        <v>899.93324512894287</v>
      </c>
      <c r="O110" s="55">
        <f>$L$110-EFEITO!$O$110*EFEITO!$AA$110</f>
        <v>772.37477435183973</v>
      </c>
      <c r="P110" s="39"/>
      <c r="Q110" s="39"/>
      <c r="R110" s="39"/>
      <c r="S110" s="39"/>
      <c r="T110" s="39"/>
      <c r="U110" s="39"/>
      <c r="V110" s="39"/>
      <c r="W110" s="39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1.25" customHeight="1" x14ac:dyDescent="0.2">
      <c r="A111" s="35" t="s">
        <v>21</v>
      </c>
      <c r="B111" s="35" t="s">
        <v>39</v>
      </c>
      <c r="C111" s="35" t="s">
        <v>23</v>
      </c>
      <c r="D111" s="35" t="s">
        <v>40</v>
      </c>
      <c r="E111" s="35" t="s">
        <v>25</v>
      </c>
      <c r="F111" s="35" t="s">
        <v>25</v>
      </c>
      <c r="G111" s="35" t="s">
        <v>25</v>
      </c>
      <c r="H111" s="35" t="s">
        <v>25</v>
      </c>
      <c r="I111" s="54">
        <v>44774</v>
      </c>
      <c r="J111" s="55">
        <f>EFEITO!$J$111*EFEITO!$Y$62</f>
        <v>0</v>
      </c>
      <c r="K111" s="55">
        <f ca="1">EFEITO!$L$111*EFEITO!$Z$62</f>
        <v>14662.050485336878</v>
      </c>
      <c r="L111" s="55">
        <f>EFEITO!$N$111*EFEITO!$AA$62</f>
        <v>12583.819962695958</v>
      </c>
      <c r="M111" s="55">
        <f>$J$111-EFEITO!$K$111*EFEITO!$Y$111</f>
        <v>0</v>
      </c>
      <c r="N111" s="55">
        <f ca="1">$K$111-EFEITO!$M$111*EFEITO!$Z$111</f>
        <v>879.72302912021223</v>
      </c>
      <c r="O111" s="55">
        <f>$L$111-EFEITO!$O$111*EFEITO!$AA$111</f>
        <v>755.02919776175804</v>
      </c>
      <c r="P111" s="39"/>
      <c r="Q111" s="39"/>
      <c r="R111" s="39"/>
      <c r="S111" s="39"/>
      <c r="T111" s="39"/>
      <c r="U111" s="39"/>
      <c r="V111" s="39"/>
      <c r="W111" s="39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1.25" customHeight="1" x14ac:dyDescent="0.2">
      <c r="A112" s="35" t="s">
        <v>21</v>
      </c>
      <c r="B112" s="35" t="s">
        <v>31</v>
      </c>
      <c r="C112" s="35" t="s">
        <v>23</v>
      </c>
      <c r="D112" s="35" t="s">
        <v>38</v>
      </c>
      <c r="E112" s="35" t="s">
        <v>25</v>
      </c>
      <c r="F112" s="35" t="s">
        <v>25</v>
      </c>
      <c r="G112" s="35" t="s">
        <v>25</v>
      </c>
      <c r="H112" s="35" t="s">
        <v>25</v>
      </c>
      <c r="I112" s="54">
        <v>44440</v>
      </c>
      <c r="J112" s="55">
        <f>EFEITO!$J$112*EFEITO!$Y$112</f>
        <v>0</v>
      </c>
      <c r="K112" s="55">
        <f ca="1">EFEITO!$L$112*EFEITO!$Z$112</f>
        <v>5825.741519196712</v>
      </c>
      <c r="L112" s="55">
        <f>EFEITO!$N$112*EFEITO!$AA$112</f>
        <v>4999.9884054477707</v>
      </c>
      <c r="M112" s="55">
        <f>$J$112-EFEITO!$K$112*EFEITO!$Y$112</f>
        <v>0</v>
      </c>
      <c r="N112" s="55">
        <f ca="1">$K$112-EFEITO!$M$112*EFEITO!$Z$112</f>
        <v>0</v>
      </c>
      <c r="O112" s="55">
        <f>$L$112-EFEITO!$O$112*EFEITO!$AA$112</f>
        <v>0</v>
      </c>
      <c r="P112" s="39"/>
      <c r="Q112" s="39"/>
      <c r="R112" s="39"/>
      <c r="S112" s="39"/>
      <c r="T112" s="39"/>
      <c r="U112" s="39"/>
      <c r="V112" s="39"/>
      <c r="W112" s="39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1.25" customHeight="1" x14ac:dyDescent="0.2">
      <c r="A113" s="35" t="s">
        <v>21</v>
      </c>
      <c r="B113" s="35" t="s">
        <v>31</v>
      </c>
      <c r="C113" s="35" t="s">
        <v>23</v>
      </c>
      <c r="D113" s="35" t="s">
        <v>38</v>
      </c>
      <c r="E113" s="35" t="s">
        <v>25</v>
      </c>
      <c r="F113" s="35" t="s">
        <v>25</v>
      </c>
      <c r="G113" s="35" t="s">
        <v>25</v>
      </c>
      <c r="H113" s="35" t="s">
        <v>25</v>
      </c>
      <c r="I113" s="54">
        <v>44470</v>
      </c>
      <c r="J113" s="55">
        <f>EFEITO!$J$113*EFEITO!$Y$113</f>
        <v>0</v>
      </c>
      <c r="K113" s="55">
        <f ca="1">EFEITO!$L$113*EFEITO!$Z$113</f>
        <v>6212.3352777039354</v>
      </c>
      <c r="L113" s="55">
        <f>EFEITO!$N$113*EFEITO!$AA$113</f>
        <v>5331.7855344115569</v>
      </c>
      <c r="M113" s="55">
        <f>$J$113-EFEITO!$K$113*EFEITO!$Y$113</f>
        <v>0</v>
      </c>
      <c r="N113" s="55">
        <f ca="1">$K$113-EFEITO!$M$113*EFEITO!$Z$113</f>
        <v>0</v>
      </c>
      <c r="O113" s="55">
        <f>$L$113-EFEITO!$O$113*EFEITO!$AA$113</f>
        <v>0</v>
      </c>
      <c r="P113" s="39"/>
      <c r="Q113" s="39"/>
      <c r="R113" s="39"/>
      <c r="S113" s="39"/>
      <c r="T113" s="39"/>
      <c r="U113" s="39"/>
      <c r="V113" s="39"/>
      <c r="W113" s="39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1.25" customHeight="1" x14ac:dyDescent="0.2">
      <c r="A114" s="35" t="s">
        <v>21</v>
      </c>
      <c r="B114" s="35" t="s">
        <v>31</v>
      </c>
      <c r="C114" s="35" t="s">
        <v>23</v>
      </c>
      <c r="D114" s="35" t="s">
        <v>38</v>
      </c>
      <c r="E114" s="35" t="s">
        <v>25</v>
      </c>
      <c r="F114" s="35" t="s">
        <v>25</v>
      </c>
      <c r="G114" s="35" t="s">
        <v>25</v>
      </c>
      <c r="H114" s="35" t="s">
        <v>25</v>
      </c>
      <c r="I114" s="54">
        <v>44501</v>
      </c>
      <c r="J114" s="55">
        <f>EFEITO!$J$114*EFEITO!$Y$114</f>
        <v>0</v>
      </c>
      <c r="K114" s="55">
        <f ca="1">EFEITO!$L$114*EFEITO!$Z$114</f>
        <v>5914.3533929832556</v>
      </c>
      <c r="L114" s="55">
        <f>EFEITO!$N$114*EFEITO!$AA$114</f>
        <v>5076.040241949232</v>
      </c>
      <c r="M114" s="55">
        <f>$J$114-EFEITO!$K$114*EFEITO!$Y$114</f>
        <v>0</v>
      </c>
      <c r="N114" s="55">
        <f ca="1">$K$114-EFEITO!$M$114*EFEITO!$Z$114</f>
        <v>0</v>
      </c>
      <c r="O114" s="55">
        <f>$L$114-EFEITO!$O$114*EFEITO!$AA$114</f>
        <v>0</v>
      </c>
      <c r="P114" s="39"/>
      <c r="Q114" s="39"/>
      <c r="R114" s="39"/>
      <c r="S114" s="39"/>
      <c r="T114" s="39"/>
      <c r="U114" s="39"/>
      <c r="V114" s="39"/>
      <c r="W114" s="39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1.25" customHeight="1" x14ac:dyDescent="0.2">
      <c r="A115" s="35" t="s">
        <v>21</v>
      </c>
      <c r="B115" s="35" t="s">
        <v>31</v>
      </c>
      <c r="C115" s="35" t="s">
        <v>23</v>
      </c>
      <c r="D115" s="35" t="s">
        <v>38</v>
      </c>
      <c r="E115" s="35" t="s">
        <v>25</v>
      </c>
      <c r="F115" s="35" t="s">
        <v>25</v>
      </c>
      <c r="G115" s="35" t="s">
        <v>25</v>
      </c>
      <c r="H115" s="35" t="s">
        <v>25</v>
      </c>
      <c r="I115" s="54">
        <v>44531</v>
      </c>
      <c r="J115" s="55">
        <f>EFEITO!$J$115*EFEITO!$Y$115</f>
        <v>0</v>
      </c>
      <c r="K115" s="55">
        <f ca="1">EFEITO!$L$115*EFEITO!$Z$115</f>
        <v>6708.2263316387262</v>
      </c>
      <c r="L115" s="55">
        <f>EFEITO!$N$115*EFEITO!$AA$115</f>
        <v>5757.3879254323501</v>
      </c>
      <c r="M115" s="55">
        <f>$J$115-EFEITO!$K$115*EFEITO!$Y$115</f>
        <v>0</v>
      </c>
      <c r="N115" s="55">
        <f ca="1">$K$115-EFEITO!$M$115*EFEITO!$Z$115</f>
        <v>0</v>
      </c>
      <c r="O115" s="55">
        <f>$L$115-EFEITO!$O$115*EFEITO!$AA$115</f>
        <v>0</v>
      </c>
      <c r="P115" s="39"/>
      <c r="Q115" s="39"/>
      <c r="R115" s="39"/>
      <c r="S115" s="39"/>
      <c r="T115" s="39"/>
      <c r="U115" s="39"/>
      <c r="V115" s="39"/>
      <c r="W115" s="39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1.25" customHeight="1" x14ac:dyDescent="0.2">
      <c r="A116" s="35" t="s">
        <v>21</v>
      </c>
      <c r="B116" s="35" t="s">
        <v>31</v>
      </c>
      <c r="C116" s="35" t="s">
        <v>23</v>
      </c>
      <c r="D116" s="35" t="s">
        <v>38</v>
      </c>
      <c r="E116" s="35" t="s">
        <v>25</v>
      </c>
      <c r="F116" s="35" t="s">
        <v>25</v>
      </c>
      <c r="G116" s="35" t="s">
        <v>25</v>
      </c>
      <c r="H116" s="35" t="s">
        <v>25</v>
      </c>
      <c r="I116" s="54">
        <v>44562</v>
      </c>
      <c r="J116" s="55">
        <f>EFEITO!$J$116*EFEITO!$Y$116</f>
        <v>0</v>
      </c>
      <c r="K116" s="55">
        <f ca="1">EFEITO!$L$116*EFEITO!$Z$116</f>
        <v>7270.925706819522</v>
      </c>
      <c r="L116" s="55">
        <f>EFEITO!$N$116*EFEITO!$AA$116</f>
        <v>6240.3290827744331</v>
      </c>
      <c r="M116" s="55">
        <f>$J$116-EFEITO!$K$116*EFEITO!$Y$116</f>
        <v>0</v>
      </c>
      <c r="N116" s="55">
        <f ca="1">$K$116-EFEITO!$M$116*EFEITO!$Z$116</f>
        <v>0</v>
      </c>
      <c r="O116" s="55">
        <f>$L$116-EFEITO!$O$116*EFEITO!$AA$116</f>
        <v>0</v>
      </c>
      <c r="P116" s="39"/>
      <c r="Q116" s="39"/>
      <c r="R116" s="39"/>
      <c r="S116" s="39"/>
      <c r="T116" s="39"/>
      <c r="U116" s="39"/>
      <c r="V116" s="39"/>
      <c r="W116" s="39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1.25" customHeight="1" x14ac:dyDescent="0.2">
      <c r="A117" s="35" t="s">
        <v>21</v>
      </c>
      <c r="B117" s="35" t="s">
        <v>31</v>
      </c>
      <c r="C117" s="35" t="s">
        <v>23</v>
      </c>
      <c r="D117" s="35" t="s">
        <v>38</v>
      </c>
      <c r="E117" s="35" t="s">
        <v>25</v>
      </c>
      <c r="F117" s="35" t="s">
        <v>25</v>
      </c>
      <c r="G117" s="35" t="s">
        <v>25</v>
      </c>
      <c r="H117" s="35" t="s">
        <v>25</v>
      </c>
      <c r="I117" s="54">
        <v>44593</v>
      </c>
      <c r="J117" s="55">
        <f>EFEITO!$J$117*EFEITO!$Y$117</f>
        <v>0</v>
      </c>
      <c r="K117" s="55">
        <f ca="1">EFEITO!$L$117*EFEITO!$Z$117</f>
        <v>8438.2543659129187</v>
      </c>
      <c r="L117" s="55">
        <f>EFEITO!$N$117*EFEITO!$AA$117</f>
        <v>7242.1980708820047</v>
      </c>
      <c r="M117" s="55">
        <f>$J$117-EFEITO!$K$117*EFEITO!$Y$117</f>
        <v>0</v>
      </c>
      <c r="N117" s="55">
        <f ca="1">$K$117-EFEITO!$M$117*EFEITO!$Z$117</f>
        <v>0</v>
      </c>
      <c r="O117" s="55">
        <f>$L$117-EFEITO!$O$117*EFEITO!$AA$117</f>
        <v>0</v>
      </c>
      <c r="P117" s="39"/>
      <c r="Q117" s="39"/>
      <c r="R117" s="39"/>
      <c r="S117" s="39"/>
      <c r="T117" s="39"/>
      <c r="U117" s="39"/>
      <c r="V117" s="39"/>
      <c r="W117" s="39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1.25" customHeight="1" x14ac:dyDescent="0.2">
      <c r="A118" s="35" t="s">
        <v>21</v>
      </c>
      <c r="B118" s="35" t="s">
        <v>31</v>
      </c>
      <c r="C118" s="35" t="s">
        <v>23</v>
      </c>
      <c r="D118" s="35" t="s">
        <v>38</v>
      </c>
      <c r="E118" s="35" t="s">
        <v>25</v>
      </c>
      <c r="F118" s="35" t="s">
        <v>25</v>
      </c>
      <c r="G118" s="35" t="s">
        <v>25</v>
      </c>
      <c r="H118" s="35" t="s">
        <v>25</v>
      </c>
      <c r="I118" s="54">
        <v>44621</v>
      </c>
      <c r="J118" s="55">
        <f>EFEITO!$J$118*EFEITO!$Y$118</f>
        <v>0</v>
      </c>
      <c r="K118" s="55">
        <f ca="1">EFEITO!$L$118*EFEITO!$Z$118</f>
        <v>7907.701254093171</v>
      </c>
      <c r="L118" s="55">
        <f>EFEITO!$N$118*EFEITO!$AA$118</f>
        <v>6786.8466964978643</v>
      </c>
      <c r="M118" s="55">
        <f>$J$118-EFEITO!$K$118*EFEITO!$Y$118</f>
        <v>0</v>
      </c>
      <c r="N118" s="55">
        <f ca="1">$K$118-EFEITO!$M$118*EFEITO!$Z$118</f>
        <v>0</v>
      </c>
      <c r="O118" s="55">
        <f>$L$118-EFEITO!$O$118*EFEITO!$AA$118</f>
        <v>0</v>
      </c>
      <c r="P118" s="39"/>
      <c r="Q118" s="39"/>
      <c r="R118" s="39"/>
      <c r="S118" s="39"/>
      <c r="T118" s="39"/>
      <c r="U118" s="39"/>
      <c r="V118" s="39"/>
      <c r="W118" s="39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1.25" customHeight="1" x14ac:dyDescent="0.2">
      <c r="A119" s="35" t="s">
        <v>21</v>
      </c>
      <c r="B119" s="35" t="s">
        <v>31</v>
      </c>
      <c r="C119" s="35" t="s">
        <v>23</v>
      </c>
      <c r="D119" s="35" t="s">
        <v>38</v>
      </c>
      <c r="E119" s="35" t="s">
        <v>25</v>
      </c>
      <c r="F119" s="35" t="s">
        <v>25</v>
      </c>
      <c r="G119" s="35" t="s">
        <v>25</v>
      </c>
      <c r="H119" s="35" t="s">
        <v>25</v>
      </c>
      <c r="I119" s="54">
        <v>44652</v>
      </c>
      <c r="J119" s="55">
        <f>EFEITO!$J$119*EFEITO!$Y$119</f>
        <v>0</v>
      </c>
      <c r="K119" s="55">
        <f ca="1">EFEITO!$L$119*EFEITO!$Z$119</f>
        <v>7596.0222658534349</v>
      </c>
      <c r="L119" s="55">
        <f>EFEITO!$N$119*EFEITO!$AA$119</f>
        <v>6519.3457573838932</v>
      </c>
      <c r="M119" s="55">
        <f>$J$119-EFEITO!$K$119*EFEITO!$Y$119</f>
        <v>0</v>
      </c>
      <c r="N119" s="55">
        <f ca="1">$K$119-EFEITO!$M$119*EFEITO!$Z$119</f>
        <v>0</v>
      </c>
      <c r="O119" s="55">
        <f>$L$119-EFEITO!$O$119*EFEITO!$AA$119</f>
        <v>0</v>
      </c>
      <c r="P119" s="39"/>
      <c r="Q119" s="39"/>
      <c r="R119" s="39"/>
      <c r="S119" s="39"/>
      <c r="T119" s="39"/>
      <c r="U119" s="39"/>
      <c r="V119" s="39"/>
      <c r="W119" s="39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1.25" customHeight="1" x14ac:dyDescent="0.2">
      <c r="A120" s="35" t="s">
        <v>21</v>
      </c>
      <c r="B120" s="35" t="s">
        <v>31</v>
      </c>
      <c r="C120" s="35" t="s">
        <v>23</v>
      </c>
      <c r="D120" s="35" t="s">
        <v>38</v>
      </c>
      <c r="E120" s="35" t="s">
        <v>25</v>
      </c>
      <c r="F120" s="35" t="s">
        <v>25</v>
      </c>
      <c r="G120" s="35" t="s">
        <v>25</v>
      </c>
      <c r="H120" s="35" t="s">
        <v>25</v>
      </c>
      <c r="I120" s="54">
        <v>44682</v>
      </c>
      <c r="J120" s="55">
        <f>EFEITO!$J$120*EFEITO!$Y$120</f>
        <v>0</v>
      </c>
      <c r="K120" s="55">
        <f ca="1">EFEITO!$L$120*EFEITO!$Z$120</f>
        <v>6719.4076406338736</v>
      </c>
      <c r="L120" s="55">
        <f>EFEITO!$N$120*EFEITO!$AA$120</f>
        <v>5766.9843716785908</v>
      </c>
      <c r="M120" s="55">
        <f>$J$120-EFEITO!$K$120*EFEITO!$Y$120</f>
        <v>0</v>
      </c>
      <c r="N120" s="55">
        <f ca="1">$K$120-EFEITO!$M$120*EFEITO!$Z$120</f>
        <v>0</v>
      </c>
      <c r="O120" s="55">
        <f>$L$120-EFEITO!$O$120*EFEITO!$AA$120</f>
        <v>0</v>
      </c>
      <c r="P120" s="39"/>
      <c r="Q120" s="39"/>
      <c r="R120" s="39"/>
      <c r="S120" s="39"/>
      <c r="T120" s="39"/>
      <c r="U120" s="39"/>
      <c r="V120" s="39"/>
      <c r="W120" s="39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1.25" customHeight="1" x14ac:dyDescent="0.2">
      <c r="A121" s="35" t="s">
        <v>21</v>
      </c>
      <c r="B121" s="35" t="s">
        <v>31</v>
      </c>
      <c r="C121" s="35" t="s">
        <v>23</v>
      </c>
      <c r="D121" s="35" t="s">
        <v>38</v>
      </c>
      <c r="E121" s="35" t="s">
        <v>25</v>
      </c>
      <c r="F121" s="35" t="s">
        <v>25</v>
      </c>
      <c r="G121" s="35" t="s">
        <v>25</v>
      </c>
      <c r="H121" s="35" t="s">
        <v>25</v>
      </c>
      <c r="I121" s="54">
        <v>44713</v>
      </c>
      <c r="J121" s="55">
        <f>EFEITO!$J$121*EFEITO!$Y$121</f>
        <v>0</v>
      </c>
      <c r="K121" s="55">
        <f ca="1">EFEITO!$L$121*EFEITO!$Z$121</f>
        <v>6380.6139780809044</v>
      </c>
      <c r="L121" s="55">
        <f>EFEITO!$N$121*EFEITO!$AA$121</f>
        <v>5476.2120504174854</v>
      </c>
      <c r="M121" s="55">
        <f>$J$121-EFEITO!$K$121*EFEITO!$Y$121</f>
        <v>0</v>
      </c>
      <c r="N121" s="55">
        <f ca="1">$K$121-EFEITO!$M$121*EFEITO!$Z$121</f>
        <v>0</v>
      </c>
      <c r="O121" s="55">
        <f>$L$121-EFEITO!$O$121*EFEITO!$AA$121</f>
        <v>0</v>
      </c>
      <c r="P121" s="39"/>
      <c r="Q121" s="39"/>
      <c r="R121" s="39"/>
      <c r="S121" s="39"/>
      <c r="T121" s="39"/>
      <c r="U121" s="39"/>
      <c r="V121" s="39"/>
      <c r="W121" s="39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">
      <c r="A122" s="35" t="s">
        <v>21</v>
      </c>
      <c r="B122" s="35" t="s">
        <v>31</v>
      </c>
      <c r="C122" s="35" t="s">
        <v>23</v>
      </c>
      <c r="D122" s="35" t="s">
        <v>38</v>
      </c>
      <c r="E122" s="35" t="s">
        <v>25</v>
      </c>
      <c r="F122" s="35" t="s">
        <v>25</v>
      </c>
      <c r="G122" s="35" t="s">
        <v>25</v>
      </c>
      <c r="H122" s="35" t="s">
        <v>25</v>
      </c>
      <c r="I122" s="54">
        <v>44743</v>
      </c>
      <c r="J122" s="55">
        <f>EFEITO!$J$122*EFEITO!$Y$122</f>
        <v>0</v>
      </c>
      <c r="K122" s="55">
        <f ca="1">EFEITO!$L$122*EFEITO!$Z$122</f>
        <v>6285.5728516221516</v>
      </c>
      <c r="L122" s="55">
        <f>EFEITO!$N$122*EFEITO!$AA$122</f>
        <v>5394.6422573244363</v>
      </c>
      <c r="M122" s="55">
        <f>$J$122-EFEITO!$K$122*EFEITO!$Y$122</f>
        <v>0</v>
      </c>
      <c r="N122" s="55">
        <f ca="1">$K$122-EFEITO!$M$122*EFEITO!$Z$122</f>
        <v>0</v>
      </c>
      <c r="O122" s="55">
        <f>$L$122-EFEITO!$O$122*EFEITO!$AA$122</f>
        <v>0</v>
      </c>
      <c r="P122" s="39"/>
      <c r="Q122" s="39"/>
      <c r="R122" s="39"/>
      <c r="S122" s="39"/>
      <c r="T122" s="39"/>
      <c r="U122" s="39"/>
      <c r="V122" s="39"/>
      <c r="W122" s="39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1.25" customHeight="1" x14ac:dyDescent="0.2">
      <c r="A123" s="35" t="s">
        <v>21</v>
      </c>
      <c r="B123" s="35" t="s">
        <v>31</v>
      </c>
      <c r="C123" s="35" t="s">
        <v>23</v>
      </c>
      <c r="D123" s="35" t="s">
        <v>38</v>
      </c>
      <c r="E123" s="35" t="s">
        <v>25</v>
      </c>
      <c r="F123" s="35" t="s">
        <v>25</v>
      </c>
      <c r="G123" s="35" t="s">
        <v>25</v>
      </c>
      <c r="H123" s="35" t="s">
        <v>25</v>
      </c>
      <c r="I123" s="54">
        <v>44774</v>
      </c>
      <c r="J123" s="55">
        <f>EFEITO!$J$123*EFEITO!$Y$123</f>
        <v>0</v>
      </c>
      <c r="K123" s="55">
        <f ca="1">EFEITO!$L$123*EFEITO!$Z$123</f>
        <v>6786.4954946047574</v>
      </c>
      <c r="L123" s="55">
        <f>EFEITO!$N$123*EFEITO!$AA$123</f>
        <v>5824.5630491560369</v>
      </c>
      <c r="M123" s="55">
        <f>$J$123-EFEITO!$K$123*EFEITO!$Y$123</f>
        <v>0</v>
      </c>
      <c r="N123" s="55">
        <f ca="1">$K$123-EFEITO!$M$123*EFEITO!$Z$123</f>
        <v>0</v>
      </c>
      <c r="O123" s="55">
        <f>$L$123-EFEITO!$O$123*EFEITO!$AA$123</f>
        <v>0</v>
      </c>
      <c r="P123" s="39"/>
      <c r="Q123" s="39"/>
      <c r="R123" s="39"/>
      <c r="S123" s="39"/>
      <c r="T123" s="39"/>
      <c r="U123" s="39"/>
      <c r="V123" s="39"/>
      <c r="W123" s="39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1.25" customHeight="1" x14ac:dyDescent="0.2">
      <c r="A124" s="35" t="s">
        <v>21</v>
      </c>
      <c r="B124" s="35" t="s">
        <v>31</v>
      </c>
      <c r="C124" s="35" t="s">
        <v>23</v>
      </c>
      <c r="D124" s="35" t="s">
        <v>32</v>
      </c>
      <c r="E124" s="35" t="s">
        <v>25</v>
      </c>
      <c r="F124" s="35" t="s">
        <v>25</v>
      </c>
      <c r="G124" s="35" t="s">
        <v>25</v>
      </c>
      <c r="H124" s="35" t="s">
        <v>25</v>
      </c>
      <c r="I124" s="54">
        <v>44440</v>
      </c>
      <c r="J124" s="55">
        <f>EFEITO!$J$124*EFEITO!$Y$124</f>
        <v>0</v>
      </c>
      <c r="K124" s="55">
        <f ca="1">EFEITO!$L$124*EFEITO!$Z$124</f>
        <v>25840.843685960441</v>
      </c>
      <c r="L124" s="55">
        <f>EFEITO!$N$124*EFEITO!$AA$124</f>
        <v>22178.107008531657</v>
      </c>
      <c r="M124" s="55">
        <f>$J$124-EFEITO!$K$124*EFEITO!$Y$124</f>
        <v>0</v>
      </c>
      <c r="N124" s="55">
        <f ca="1">$K$124-EFEITO!$M$124*EFEITO!$Z$124</f>
        <v>0</v>
      </c>
      <c r="O124" s="55">
        <f>$L$124-EFEITO!$O$124*EFEITO!$AA$124</f>
        <v>0</v>
      </c>
      <c r="P124" s="39"/>
      <c r="Q124" s="39"/>
      <c r="R124" s="39"/>
      <c r="S124" s="39"/>
      <c r="T124" s="39"/>
      <c r="U124" s="39"/>
      <c r="V124" s="39"/>
      <c r="W124" s="39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1.25" customHeight="1" x14ac:dyDescent="0.2">
      <c r="A125" s="35" t="s">
        <v>21</v>
      </c>
      <c r="B125" s="35" t="s">
        <v>31</v>
      </c>
      <c r="C125" s="35" t="s">
        <v>23</v>
      </c>
      <c r="D125" s="35" t="s">
        <v>32</v>
      </c>
      <c r="E125" s="35" t="s">
        <v>25</v>
      </c>
      <c r="F125" s="35" t="s">
        <v>25</v>
      </c>
      <c r="G125" s="35" t="s">
        <v>25</v>
      </c>
      <c r="H125" s="35" t="s">
        <v>25</v>
      </c>
      <c r="I125" s="54">
        <v>44470</v>
      </c>
      <c r="J125" s="55">
        <f>EFEITO!$J$125*EFEITO!$Y$125</f>
        <v>0</v>
      </c>
      <c r="K125" s="55">
        <f ca="1">EFEITO!$L$125*EFEITO!$Z$125</f>
        <v>25634.26900227509</v>
      </c>
      <c r="L125" s="55">
        <f>EFEITO!$N$125*EFEITO!$AA$125</f>
        <v>22000.812664132351</v>
      </c>
      <c r="M125" s="55">
        <f>$J$125-EFEITO!$K$125*EFEITO!$Y$125</f>
        <v>0</v>
      </c>
      <c r="N125" s="55">
        <f ca="1">$K$125-EFEITO!$M$125*EFEITO!$Z$125</f>
        <v>0</v>
      </c>
      <c r="O125" s="55">
        <f>$L$125-EFEITO!$O$125*EFEITO!$AA$125</f>
        <v>0</v>
      </c>
      <c r="P125" s="39"/>
      <c r="Q125" s="39"/>
      <c r="R125" s="39"/>
      <c r="S125" s="39"/>
      <c r="T125" s="39"/>
      <c r="U125" s="39"/>
      <c r="V125" s="39"/>
      <c r="W125" s="39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1.25" customHeight="1" x14ac:dyDescent="0.2">
      <c r="A126" s="35" t="s">
        <v>21</v>
      </c>
      <c r="B126" s="35" t="s">
        <v>31</v>
      </c>
      <c r="C126" s="35" t="s">
        <v>23</v>
      </c>
      <c r="D126" s="35" t="s">
        <v>32</v>
      </c>
      <c r="E126" s="35" t="s">
        <v>25</v>
      </c>
      <c r="F126" s="35" t="s">
        <v>25</v>
      </c>
      <c r="G126" s="35" t="s">
        <v>25</v>
      </c>
      <c r="H126" s="35" t="s">
        <v>25</v>
      </c>
      <c r="I126" s="54">
        <v>44501</v>
      </c>
      <c r="J126" s="55">
        <f>EFEITO!$J$126*EFEITO!$Y$126</f>
        <v>0</v>
      </c>
      <c r="K126" s="55">
        <f ca="1">EFEITO!$L$126*EFEITO!$Z$126</f>
        <v>22791.700722983725</v>
      </c>
      <c r="L126" s="55">
        <f>EFEITO!$N$126*EFEITO!$AA$126</f>
        <v>19561.156117181708</v>
      </c>
      <c r="M126" s="55">
        <f>$J$126-EFEITO!$K$126*EFEITO!$Y$126</f>
        <v>0</v>
      </c>
      <c r="N126" s="55">
        <f ca="1">$K$126-EFEITO!$M$126*EFEITO!$Z$126</f>
        <v>0</v>
      </c>
      <c r="O126" s="55">
        <f>$L$126-EFEITO!$O$126*EFEITO!$AA$126</f>
        <v>0</v>
      </c>
      <c r="P126" s="39"/>
      <c r="Q126" s="39"/>
      <c r="R126" s="39"/>
      <c r="S126" s="39"/>
      <c r="T126" s="39"/>
      <c r="U126" s="39"/>
      <c r="V126" s="39"/>
      <c r="W126" s="39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1.25" customHeight="1" x14ac:dyDescent="0.2">
      <c r="A127" s="35" t="s">
        <v>21</v>
      </c>
      <c r="B127" s="35" t="s">
        <v>31</v>
      </c>
      <c r="C127" s="35" t="s">
        <v>23</v>
      </c>
      <c r="D127" s="35" t="s">
        <v>32</v>
      </c>
      <c r="E127" s="35" t="s">
        <v>25</v>
      </c>
      <c r="F127" s="35" t="s">
        <v>25</v>
      </c>
      <c r="G127" s="35" t="s">
        <v>25</v>
      </c>
      <c r="H127" s="35" t="s">
        <v>25</v>
      </c>
      <c r="I127" s="54">
        <v>44531</v>
      </c>
      <c r="J127" s="55">
        <f>EFEITO!$J$127*EFEITO!$Y$127</f>
        <v>0</v>
      </c>
      <c r="K127" s="55">
        <f ca="1">EFEITO!$L$127*EFEITO!$Z$127</f>
        <v>24649.754745252358</v>
      </c>
      <c r="L127" s="55">
        <f>EFEITO!$N$127*EFEITO!$AA$127</f>
        <v>21155.845572150825</v>
      </c>
      <c r="M127" s="55">
        <f>$J$127-EFEITO!$K$127*EFEITO!$Y$127</f>
        <v>0</v>
      </c>
      <c r="N127" s="55">
        <f ca="1">$K$127-EFEITO!$M$127*EFEITO!$Z$127</f>
        <v>0</v>
      </c>
      <c r="O127" s="55">
        <f>$L$127-EFEITO!$O$127*EFEITO!$AA$127</f>
        <v>0</v>
      </c>
      <c r="P127" s="39"/>
      <c r="Q127" s="39"/>
      <c r="R127" s="39"/>
      <c r="S127" s="39"/>
      <c r="T127" s="39"/>
      <c r="U127" s="39"/>
      <c r="V127" s="39"/>
      <c r="W127" s="39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1.25" customHeight="1" x14ac:dyDescent="0.2">
      <c r="A128" s="35" t="s">
        <v>21</v>
      </c>
      <c r="B128" s="35" t="s">
        <v>31</v>
      </c>
      <c r="C128" s="35" t="s">
        <v>23</v>
      </c>
      <c r="D128" s="35" t="s">
        <v>32</v>
      </c>
      <c r="E128" s="35" t="s">
        <v>25</v>
      </c>
      <c r="F128" s="35" t="s">
        <v>25</v>
      </c>
      <c r="G128" s="35" t="s">
        <v>25</v>
      </c>
      <c r="H128" s="35" t="s">
        <v>25</v>
      </c>
      <c r="I128" s="54">
        <v>44562</v>
      </c>
      <c r="J128" s="55">
        <f>EFEITO!$J$128*EFEITO!$Y$128</f>
        <v>0</v>
      </c>
      <c r="K128" s="55">
        <f ca="1">EFEITO!$L$128*EFEITO!$Z$128</f>
        <v>14957.79610825853</v>
      </c>
      <c r="L128" s="55">
        <f>EFEITO!$N$128*EFEITO!$AA$128</f>
        <v>12837.645965909034</v>
      </c>
      <c r="M128" s="55">
        <f>$J$128-EFEITO!$K$128*EFEITO!$Y$128</f>
        <v>0</v>
      </c>
      <c r="N128" s="55">
        <f ca="1">$K$128-EFEITO!$M$128*EFEITO!$Z$128</f>
        <v>0</v>
      </c>
      <c r="O128" s="55">
        <f>$L$128-EFEITO!$O$128*EFEITO!$AA$128</f>
        <v>0</v>
      </c>
      <c r="P128" s="39"/>
      <c r="Q128" s="39"/>
      <c r="R128" s="39"/>
      <c r="S128" s="39"/>
      <c r="T128" s="39"/>
      <c r="U128" s="39"/>
      <c r="V128" s="39"/>
      <c r="W128" s="39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1.25" customHeight="1" x14ac:dyDescent="0.2">
      <c r="A129" s="35" t="s">
        <v>21</v>
      </c>
      <c r="B129" s="35" t="s">
        <v>31</v>
      </c>
      <c r="C129" s="35" t="s">
        <v>23</v>
      </c>
      <c r="D129" s="35" t="s">
        <v>32</v>
      </c>
      <c r="E129" s="35" t="s">
        <v>25</v>
      </c>
      <c r="F129" s="35" t="s">
        <v>25</v>
      </c>
      <c r="G129" s="35" t="s">
        <v>25</v>
      </c>
      <c r="H129" s="35" t="s">
        <v>25</v>
      </c>
      <c r="I129" s="54">
        <v>44593</v>
      </c>
      <c r="J129" s="55">
        <f>EFEITO!$J$129*EFEITO!$Y$129</f>
        <v>0</v>
      </c>
      <c r="K129" s="55">
        <f ca="1">EFEITO!$L$129*EFEITO!$Z$129</f>
        <v>20646.566592264688</v>
      </c>
      <c r="L129" s="55">
        <f>EFEITO!$N$129*EFEITO!$AA$129</f>
        <v>17720.077904840353</v>
      </c>
      <c r="M129" s="55">
        <f>$J$129-EFEITO!$K$129*EFEITO!$Y$129</f>
        <v>0</v>
      </c>
      <c r="N129" s="55">
        <f ca="1">$K$129-EFEITO!$M$129*EFEITO!$Z$129</f>
        <v>0</v>
      </c>
      <c r="O129" s="55">
        <f>$L$129-EFEITO!$O$129*EFEITO!$AA$129</f>
        <v>0</v>
      </c>
      <c r="P129" s="39"/>
      <c r="Q129" s="39"/>
      <c r="R129" s="39"/>
      <c r="S129" s="39"/>
      <c r="T129" s="39"/>
      <c r="U129" s="39"/>
      <c r="V129" s="39"/>
      <c r="W129" s="39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1.25" customHeight="1" x14ac:dyDescent="0.2">
      <c r="A130" s="35" t="s">
        <v>21</v>
      </c>
      <c r="B130" s="35" t="s">
        <v>31</v>
      </c>
      <c r="C130" s="35" t="s">
        <v>23</v>
      </c>
      <c r="D130" s="35" t="s">
        <v>32</v>
      </c>
      <c r="E130" s="35" t="s">
        <v>25</v>
      </c>
      <c r="F130" s="35" t="s">
        <v>25</v>
      </c>
      <c r="G130" s="35" t="s">
        <v>25</v>
      </c>
      <c r="H130" s="35" t="s">
        <v>25</v>
      </c>
      <c r="I130" s="54">
        <v>44621</v>
      </c>
      <c r="J130" s="55">
        <f>EFEITO!$J$130*EFEITO!$Y$130</f>
        <v>0</v>
      </c>
      <c r="K130" s="55">
        <f ca="1">EFEITO!$L$130*EFEITO!$Z$130</f>
        <v>23265.508691653104</v>
      </c>
      <c r="L130" s="55">
        <f>EFEITO!$N$130*EFEITO!$AA$130</f>
        <v>19967.805526866177</v>
      </c>
      <c r="M130" s="55">
        <f>$J$130-EFEITO!$K$130*EFEITO!$Y$130</f>
        <v>0</v>
      </c>
      <c r="N130" s="55">
        <f ca="1">$K$130-EFEITO!$M$130*EFEITO!$Z$130</f>
        <v>0</v>
      </c>
      <c r="O130" s="55">
        <f>$L$130-EFEITO!$O$130*EFEITO!$AA$130</f>
        <v>0</v>
      </c>
      <c r="P130" s="39"/>
      <c r="Q130" s="39"/>
      <c r="R130" s="39"/>
      <c r="S130" s="39"/>
      <c r="T130" s="39"/>
      <c r="U130" s="39"/>
      <c r="V130" s="39"/>
      <c r="W130" s="39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1.25" customHeight="1" x14ac:dyDescent="0.2">
      <c r="A131" s="35" t="s">
        <v>21</v>
      </c>
      <c r="B131" s="35" t="s">
        <v>31</v>
      </c>
      <c r="C131" s="35" t="s">
        <v>23</v>
      </c>
      <c r="D131" s="35" t="s">
        <v>32</v>
      </c>
      <c r="E131" s="35" t="s">
        <v>25</v>
      </c>
      <c r="F131" s="35" t="s">
        <v>25</v>
      </c>
      <c r="G131" s="35" t="s">
        <v>25</v>
      </c>
      <c r="H131" s="35" t="s">
        <v>25</v>
      </c>
      <c r="I131" s="54">
        <v>44652</v>
      </c>
      <c r="J131" s="55">
        <f>EFEITO!$J$131*EFEITO!$Y$131</f>
        <v>0</v>
      </c>
      <c r="K131" s="55">
        <f ca="1">EFEITO!$L$131*EFEITO!$Z$131</f>
        <v>27447.597788563136</v>
      </c>
      <c r="L131" s="55">
        <f>EFEITO!$N$131*EFEITO!$AA$131</f>
        <v>23557.116334116505</v>
      </c>
      <c r="M131" s="55">
        <f>$J$131-EFEITO!$K$131*EFEITO!$Y$131</f>
        <v>0</v>
      </c>
      <c r="N131" s="55">
        <f ca="1">$K$131-EFEITO!$M$131*EFEITO!$Z$131</f>
        <v>0</v>
      </c>
      <c r="O131" s="55">
        <f>$L$131-EFEITO!$O$131*EFEITO!$AA$131</f>
        <v>0</v>
      </c>
      <c r="P131" s="39"/>
      <c r="Q131" s="39"/>
      <c r="R131" s="39"/>
      <c r="S131" s="39"/>
      <c r="T131" s="39"/>
      <c r="U131" s="39"/>
      <c r="V131" s="39"/>
      <c r="W131" s="39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1.25" customHeight="1" x14ac:dyDescent="0.2">
      <c r="A132" s="35" t="s">
        <v>21</v>
      </c>
      <c r="B132" s="35" t="s">
        <v>31</v>
      </c>
      <c r="C132" s="35" t="s">
        <v>23</v>
      </c>
      <c r="D132" s="35" t="s">
        <v>32</v>
      </c>
      <c r="E132" s="35" t="s">
        <v>25</v>
      </c>
      <c r="F132" s="35" t="s">
        <v>25</v>
      </c>
      <c r="G132" s="35" t="s">
        <v>25</v>
      </c>
      <c r="H132" s="35" t="s">
        <v>25</v>
      </c>
      <c r="I132" s="54">
        <v>44682</v>
      </c>
      <c r="J132" s="55">
        <f>EFEITO!$J$132*EFEITO!$Y$132</f>
        <v>0</v>
      </c>
      <c r="K132" s="55">
        <f ca="1">EFEITO!$L$132*EFEITO!$Z$132</f>
        <v>20333.489940400555</v>
      </c>
      <c r="L132" s="55">
        <f>EFEITO!$N$132*EFEITO!$AA$132</f>
        <v>17451.377409945602</v>
      </c>
      <c r="M132" s="55">
        <f>$J$132-EFEITO!$K$132*EFEITO!$Y$132</f>
        <v>0</v>
      </c>
      <c r="N132" s="55">
        <f ca="1">$K$132-EFEITO!$M$132*EFEITO!$Z$132</f>
        <v>0</v>
      </c>
      <c r="O132" s="55">
        <f>$L$132-EFEITO!$O$132*EFEITO!$AA$132</f>
        <v>0</v>
      </c>
      <c r="P132" s="39"/>
      <c r="Q132" s="39"/>
      <c r="R132" s="39"/>
      <c r="S132" s="39"/>
      <c r="T132" s="39"/>
      <c r="U132" s="39"/>
      <c r="V132" s="39"/>
      <c r="W132" s="39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1.25" customHeight="1" x14ac:dyDescent="0.2">
      <c r="A133" s="35" t="s">
        <v>21</v>
      </c>
      <c r="B133" s="35" t="s">
        <v>31</v>
      </c>
      <c r="C133" s="35" t="s">
        <v>23</v>
      </c>
      <c r="D133" s="35" t="s">
        <v>32</v>
      </c>
      <c r="E133" s="35" t="s">
        <v>25</v>
      </c>
      <c r="F133" s="35" t="s">
        <v>25</v>
      </c>
      <c r="G133" s="35" t="s">
        <v>25</v>
      </c>
      <c r="H133" s="35" t="s">
        <v>25</v>
      </c>
      <c r="I133" s="54">
        <v>44713</v>
      </c>
      <c r="J133" s="55">
        <f>EFEITO!$J$133*EFEITO!$Y$133</f>
        <v>0</v>
      </c>
      <c r="K133" s="55">
        <f ca="1">EFEITO!$L$133*EFEITO!$Z$133</f>
        <v>22750.888945151437</v>
      </c>
      <c r="L133" s="55">
        <f>EFEITO!$N$133*EFEITO!$AA$133</f>
        <v>19526.129088382928</v>
      </c>
      <c r="M133" s="55">
        <f>$J$133-EFEITO!$K$133*EFEITO!$Y$133</f>
        <v>0</v>
      </c>
      <c r="N133" s="55">
        <f ca="1">$K$133-EFEITO!$M$133*EFEITO!$Z$133</f>
        <v>0</v>
      </c>
      <c r="O133" s="55">
        <f>$L$133-EFEITO!$O$133*EFEITO!$AA$133</f>
        <v>0</v>
      </c>
      <c r="P133" s="39"/>
      <c r="Q133" s="39"/>
      <c r="R133" s="39"/>
      <c r="S133" s="39"/>
      <c r="T133" s="39"/>
      <c r="U133" s="39"/>
      <c r="V133" s="39"/>
      <c r="W133" s="39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1.25" customHeight="1" x14ac:dyDescent="0.2">
      <c r="A134" s="35" t="s">
        <v>21</v>
      </c>
      <c r="B134" s="35" t="s">
        <v>31</v>
      </c>
      <c r="C134" s="35" t="s">
        <v>23</v>
      </c>
      <c r="D134" s="35" t="s">
        <v>32</v>
      </c>
      <c r="E134" s="35" t="s">
        <v>25</v>
      </c>
      <c r="F134" s="35" t="s">
        <v>25</v>
      </c>
      <c r="G134" s="35" t="s">
        <v>25</v>
      </c>
      <c r="H134" s="35" t="s">
        <v>25</v>
      </c>
      <c r="I134" s="54">
        <v>44743</v>
      </c>
      <c r="J134" s="55">
        <f>EFEITO!$J$134*EFEITO!$Y$134</f>
        <v>0</v>
      </c>
      <c r="K134" s="55">
        <f ca="1">EFEITO!$L$134*EFEITO!$Z$134</f>
        <v>20643.212199566144</v>
      </c>
      <c r="L134" s="55">
        <f>EFEITO!$N$134*EFEITO!$AA$134</f>
        <v>17717.198970966481</v>
      </c>
      <c r="M134" s="55">
        <f>$J$134-EFEITO!$K$134*EFEITO!$Y$134</f>
        <v>0</v>
      </c>
      <c r="N134" s="55">
        <f ca="1">$K$134-EFEITO!$M$134*EFEITO!$Z$134</f>
        <v>0</v>
      </c>
      <c r="O134" s="55">
        <f>$L$134-EFEITO!$O$134*EFEITO!$AA$134</f>
        <v>0</v>
      </c>
      <c r="P134" s="39"/>
      <c r="Q134" s="39"/>
      <c r="R134" s="39"/>
      <c r="S134" s="39"/>
      <c r="T134" s="39"/>
      <c r="U134" s="39"/>
      <c r="V134" s="39"/>
      <c r="W134" s="39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1.25" customHeight="1" x14ac:dyDescent="0.2">
      <c r="A135" s="35" t="s">
        <v>21</v>
      </c>
      <c r="B135" s="35" t="s">
        <v>31</v>
      </c>
      <c r="C135" s="35" t="s">
        <v>23</v>
      </c>
      <c r="D135" s="35" t="s">
        <v>32</v>
      </c>
      <c r="E135" s="35" t="s">
        <v>25</v>
      </c>
      <c r="F135" s="35" t="s">
        <v>25</v>
      </c>
      <c r="G135" s="35" t="s">
        <v>25</v>
      </c>
      <c r="H135" s="35" t="s">
        <v>25</v>
      </c>
      <c r="I135" s="54">
        <v>44774</v>
      </c>
      <c r="J135" s="55">
        <f>EFEITO!$J$135*EFEITO!$Y$135</f>
        <v>0</v>
      </c>
      <c r="K135" s="55">
        <f ca="1">EFEITO!$L$135*EFEITO!$Z$135</f>
        <v>22296.648267223572</v>
      </c>
      <c r="L135" s="55">
        <f>EFEITO!$N$135*EFEITO!$AA$135</f>
        <v>19136.273459629381</v>
      </c>
      <c r="M135" s="55">
        <f>$J$135-EFEITO!$K$135*EFEITO!$Y$135</f>
        <v>0</v>
      </c>
      <c r="N135" s="55">
        <f ca="1">$K$135-EFEITO!$M$135*EFEITO!$Z$135</f>
        <v>0</v>
      </c>
      <c r="O135" s="55">
        <f>$L$135-EFEITO!$O$135*EFEITO!$AA$135</f>
        <v>0</v>
      </c>
      <c r="P135" s="39"/>
      <c r="Q135" s="39"/>
      <c r="R135" s="39"/>
      <c r="S135" s="39"/>
      <c r="T135" s="39"/>
      <c r="U135" s="39"/>
      <c r="V135" s="39"/>
      <c r="W135" s="39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1.25" customHeight="1" x14ac:dyDescent="0.2">
      <c r="A136" s="35" t="s">
        <v>21</v>
      </c>
      <c r="B136" s="35" t="s">
        <v>31</v>
      </c>
      <c r="C136" s="35" t="s">
        <v>23</v>
      </c>
      <c r="D136" s="35" t="s">
        <v>41</v>
      </c>
      <c r="E136" s="35" t="s">
        <v>25</v>
      </c>
      <c r="F136" s="35" t="s">
        <v>25</v>
      </c>
      <c r="G136" s="35" t="s">
        <v>25</v>
      </c>
      <c r="H136" s="35" t="s">
        <v>25</v>
      </c>
      <c r="I136" s="54">
        <v>44440</v>
      </c>
      <c r="J136" s="55">
        <f>EFEITO!$J$136*EFEITO!$Y$136</f>
        <v>0</v>
      </c>
      <c r="K136" s="55">
        <f ca="1">EFEITO!$L$136*EFEITO!$Z$136</f>
        <v>1846.593180548605</v>
      </c>
      <c r="L136" s="55">
        <f>EFEITO!$N$136*EFEITO!$AA$136</f>
        <v>1584.8530975667181</v>
      </c>
      <c r="M136" s="55">
        <f>$J$136-EFEITO!$K$136*EFEITO!$Y$136</f>
        <v>0</v>
      </c>
      <c r="N136" s="55">
        <f ca="1">$K$136-EFEITO!$M$136*EFEITO!$Z$136</f>
        <v>0</v>
      </c>
      <c r="O136" s="55">
        <f>$L$136-EFEITO!$O$136*EFEITO!$AA$136</f>
        <v>0</v>
      </c>
      <c r="P136" s="39"/>
      <c r="Q136" s="39"/>
      <c r="R136" s="39"/>
      <c r="S136" s="39"/>
      <c r="T136" s="39"/>
      <c r="U136" s="39"/>
      <c r="V136" s="39"/>
      <c r="W136" s="39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1.25" customHeight="1" x14ac:dyDescent="0.2">
      <c r="A137" s="35" t="s">
        <v>21</v>
      </c>
      <c r="B137" s="35" t="s">
        <v>31</v>
      </c>
      <c r="C137" s="35" t="s">
        <v>23</v>
      </c>
      <c r="D137" s="35" t="s">
        <v>41</v>
      </c>
      <c r="E137" s="35" t="s">
        <v>25</v>
      </c>
      <c r="F137" s="35" t="s">
        <v>25</v>
      </c>
      <c r="G137" s="35" t="s">
        <v>25</v>
      </c>
      <c r="H137" s="35" t="s">
        <v>25</v>
      </c>
      <c r="I137" s="54">
        <v>44470</v>
      </c>
      <c r="J137" s="55">
        <f>EFEITO!$J$137*EFEITO!$Y$137</f>
        <v>0</v>
      </c>
      <c r="K137" s="55">
        <f ca="1">EFEITO!$L$137*EFEITO!$Z$137</f>
        <v>1850.2271059720279</v>
      </c>
      <c r="L137" s="55">
        <f>EFEITO!$N$137*EFEITO!$AA$137</f>
        <v>1587.9719425967464</v>
      </c>
      <c r="M137" s="55">
        <f>$J$137-EFEITO!$K$137*EFEITO!$Y$137</f>
        <v>0</v>
      </c>
      <c r="N137" s="55">
        <f ca="1">$K$137-EFEITO!$M$137*EFEITO!$Z$137</f>
        <v>0</v>
      </c>
      <c r="O137" s="55">
        <f>$L$137-EFEITO!$O$137*EFEITO!$AA$137</f>
        <v>0</v>
      </c>
      <c r="P137" s="39"/>
      <c r="Q137" s="39"/>
      <c r="R137" s="39"/>
      <c r="S137" s="39"/>
      <c r="T137" s="39"/>
      <c r="U137" s="39"/>
      <c r="V137" s="39"/>
      <c r="W137" s="39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1.25" customHeight="1" x14ac:dyDescent="0.2">
      <c r="A138" s="35" t="s">
        <v>21</v>
      </c>
      <c r="B138" s="35" t="s">
        <v>31</v>
      </c>
      <c r="C138" s="35" t="s">
        <v>23</v>
      </c>
      <c r="D138" s="35" t="s">
        <v>41</v>
      </c>
      <c r="E138" s="35" t="s">
        <v>25</v>
      </c>
      <c r="F138" s="35" t="s">
        <v>25</v>
      </c>
      <c r="G138" s="35" t="s">
        <v>25</v>
      </c>
      <c r="H138" s="35" t="s">
        <v>25</v>
      </c>
      <c r="I138" s="54">
        <v>44501</v>
      </c>
      <c r="J138" s="55">
        <f>EFEITO!$J$138*EFEITO!$Y$138</f>
        <v>0</v>
      </c>
      <c r="K138" s="55">
        <f ca="1">EFEITO!$L$138*EFEITO!$Z$138</f>
        <v>1912.2833708950964</v>
      </c>
      <c r="L138" s="55">
        <f>EFEITO!$N$138*EFEITO!$AA$138</f>
        <v>1641.2322192633846</v>
      </c>
      <c r="M138" s="55">
        <f>$J$138-EFEITO!$K$138*EFEITO!$Y$138</f>
        <v>0</v>
      </c>
      <c r="N138" s="55">
        <f ca="1">$K$138-EFEITO!$M$138*EFEITO!$Z$138</f>
        <v>0</v>
      </c>
      <c r="O138" s="55">
        <f>$L$138-EFEITO!$O$138*EFEITO!$AA$138</f>
        <v>0</v>
      </c>
      <c r="P138" s="39"/>
      <c r="Q138" s="39"/>
      <c r="R138" s="39"/>
      <c r="S138" s="39"/>
      <c r="T138" s="39"/>
      <c r="U138" s="39"/>
      <c r="V138" s="39"/>
      <c r="W138" s="39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1.25" customHeight="1" x14ac:dyDescent="0.2">
      <c r="A139" s="35" t="s">
        <v>21</v>
      </c>
      <c r="B139" s="35" t="s">
        <v>31</v>
      </c>
      <c r="C139" s="35" t="s">
        <v>23</v>
      </c>
      <c r="D139" s="35" t="s">
        <v>41</v>
      </c>
      <c r="E139" s="35" t="s">
        <v>25</v>
      </c>
      <c r="F139" s="35" t="s">
        <v>25</v>
      </c>
      <c r="G139" s="35" t="s">
        <v>25</v>
      </c>
      <c r="H139" s="35" t="s">
        <v>25</v>
      </c>
      <c r="I139" s="54">
        <v>44531</v>
      </c>
      <c r="J139" s="55">
        <f>EFEITO!$J$139*EFEITO!$Y$139</f>
        <v>0</v>
      </c>
      <c r="K139" s="55">
        <f ca="1">EFEITO!$L$139*EFEITO!$Z$139</f>
        <v>2192.9342266732979</v>
      </c>
      <c r="L139" s="55">
        <f>EFEITO!$N$139*EFEITO!$AA$139</f>
        <v>1882.1030200440362</v>
      </c>
      <c r="M139" s="55">
        <f>$J$139-EFEITO!$K$139*EFEITO!$Y$139</f>
        <v>0</v>
      </c>
      <c r="N139" s="55">
        <f ca="1">$K$139-EFEITO!$M$139*EFEITO!$Z$139</f>
        <v>0</v>
      </c>
      <c r="O139" s="55">
        <f>$L$139-EFEITO!$O$139*EFEITO!$AA$139</f>
        <v>0</v>
      </c>
      <c r="P139" s="39"/>
      <c r="Q139" s="39"/>
      <c r="R139" s="39"/>
      <c r="S139" s="39"/>
      <c r="T139" s="39"/>
      <c r="U139" s="39"/>
      <c r="V139" s="39"/>
      <c r="W139" s="39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1.25" customHeight="1" x14ac:dyDescent="0.2">
      <c r="A140" s="35" t="s">
        <v>21</v>
      </c>
      <c r="B140" s="35" t="s">
        <v>31</v>
      </c>
      <c r="C140" s="35" t="s">
        <v>23</v>
      </c>
      <c r="D140" s="35" t="s">
        <v>41</v>
      </c>
      <c r="E140" s="35" t="s">
        <v>25</v>
      </c>
      <c r="F140" s="35" t="s">
        <v>25</v>
      </c>
      <c r="G140" s="35" t="s">
        <v>25</v>
      </c>
      <c r="H140" s="35" t="s">
        <v>25</v>
      </c>
      <c r="I140" s="54">
        <v>44562</v>
      </c>
      <c r="J140" s="55">
        <f>EFEITO!$J$140*EFEITO!$Y$140</f>
        <v>0</v>
      </c>
      <c r="K140" s="55">
        <f ca="1">EFEITO!$L$140*EFEITO!$Z$140</f>
        <v>2218.9307700870158</v>
      </c>
      <c r="L140" s="55">
        <f>EFEITO!$N$140*EFEITO!$AA$140</f>
        <v>1904.4147575665468</v>
      </c>
      <c r="M140" s="55">
        <f>$J$140-EFEITO!$K$140*EFEITO!$Y$140</f>
        <v>0</v>
      </c>
      <c r="N140" s="55">
        <f ca="1">$K$140-EFEITO!$M$140*EFEITO!$Z$140</f>
        <v>0</v>
      </c>
      <c r="O140" s="55">
        <f>$L$140-EFEITO!$O$140*EFEITO!$AA$140</f>
        <v>0</v>
      </c>
      <c r="P140" s="39"/>
      <c r="Q140" s="39"/>
      <c r="R140" s="39"/>
      <c r="S140" s="39"/>
      <c r="T140" s="39"/>
      <c r="U140" s="39"/>
      <c r="V140" s="39"/>
      <c r="W140" s="39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1.25" customHeight="1" x14ac:dyDescent="0.2">
      <c r="A141" s="35" t="s">
        <v>21</v>
      </c>
      <c r="B141" s="35" t="s">
        <v>31</v>
      </c>
      <c r="C141" s="35" t="s">
        <v>23</v>
      </c>
      <c r="D141" s="35" t="s">
        <v>41</v>
      </c>
      <c r="E141" s="35" t="s">
        <v>25</v>
      </c>
      <c r="F141" s="35" t="s">
        <v>25</v>
      </c>
      <c r="G141" s="35" t="s">
        <v>25</v>
      </c>
      <c r="H141" s="35" t="s">
        <v>25</v>
      </c>
      <c r="I141" s="54">
        <v>44593</v>
      </c>
      <c r="J141" s="55">
        <f>EFEITO!$J$141*EFEITO!$Y$141</f>
        <v>0</v>
      </c>
      <c r="K141" s="55">
        <f ca="1">EFEITO!$L$141*EFEITO!$Z$141</f>
        <v>2914.967255034946</v>
      </c>
      <c r="L141" s="55">
        <f>EFEITO!$N$141*EFEITO!$AA$141</f>
        <v>2501.7935363950555</v>
      </c>
      <c r="M141" s="55">
        <f>$J$141-EFEITO!$K$141*EFEITO!$Y$141</f>
        <v>0</v>
      </c>
      <c r="N141" s="55">
        <f ca="1">$K$141-EFEITO!$M$141*EFEITO!$Z$141</f>
        <v>0</v>
      </c>
      <c r="O141" s="55">
        <f>$L$141-EFEITO!$O$141*EFEITO!$AA$141</f>
        <v>0</v>
      </c>
      <c r="P141" s="39"/>
      <c r="Q141" s="39"/>
      <c r="R141" s="39"/>
      <c r="S141" s="39"/>
      <c r="T141" s="39"/>
      <c r="U141" s="39"/>
      <c r="V141" s="39"/>
      <c r="W141" s="39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1.25" customHeight="1" x14ac:dyDescent="0.2">
      <c r="A142" s="35" t="s">
        <v>21</v>
      </c>
      <c r="B142" s="35" t="s">
        <v>31</v>
      </c>
      <c r="C142" s="35" t="s">
        <v>23</v>
      </c>
      <c r="D142" s="35" t="s">
        <v>41</v>
      </c>
      <c r="E142" s="35" t="s">
        <v>25</v>
      </c>
      <c r="F142" s="35" t="s">
        <v>25</v>
      </c>
      <c r="G142" s="35" t="s">
        <v>25</v>
      </c>
      <c r="H142" s="35" t="s">
        <v>25</v>
      </c>
      <c r="I142" s="54">
        <v>44621</v>
      </c>
      <c r="J142" s="55">
        <f>EFEITO!$J$142*EFEITO!$Y$142</f>
        <v>0</v>
      </c>
      <c r="K142" s="55">
        <f ca="1">EFEITO!$L$142*EFEITO!$Z$142</f>
        <v>3714.4308481879903</v>
      </c>
      <c r="L142" s="55">
        <f>EFEITO!$N$142*EFEITO!$AA$142</f>
        <v>3187.9394430012944</v>
      </c>
      <c r="M142" s="55">
        <f>$J$142-EFEITO!$K$142*EFEITO!$Y$142</f>
        <v>0</v>
      </c>
      <c r="N142" s="55">
        <f ca="1">$K$142-EFEITO!$M$142*EFEITO!$Z$142</f>
        <v>0</v>
      </c>
      <c r="O142" s="55">
        <f>$L$142-EFEITO!$O$142*EFEITO!$AA$142</f>
        <v>0</v>
      </c>
      <c r="P142" s="39"/>
      <c r="Q142" s="39"/>
      <c r="R142" s="39"/>
      <c r="S142" s="39"/>
      <c r="T142" s="39"/>
      <c r="U142" s="39"/>
      <c r="V142" s="39"/>
      <c r="W142" s="39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1.25" customHeight="1" x14ac:dyDescent="0.2">
      <c r="A143" s="35" t="s">
        <v>21</v>
      </c>
      <c r="B143" s="35" t="s">
        <v>31</v>
      </c>
      <c r="C143" s="35" t="s">
        <v>23</v>
      </c>
      <c r="D143" s="35" t="s">
        <v>41</v>
      </c>
      <c r="E143" s="35" t="s">
        <v>25</v>
      </c>
      <c r="F143" s="35" t="s">
        <v>25</v>
      </c>
      <c r="G143" s="35" t="s">
        <v>25</v>
      </c>
      <c r="H143" s="35" t="s">
        <v>25</v>
      </c>
      <c r="I143" s="54">
        <v>44652</v>
      </c>
      <c r="J143" s="55">
        <f>EFEITO!$J$143*EFEITO!$Y$143</f>
        <v>0</v>
      </c>
      <c r="K143" s="55">
        <f ca="1">EFEITO!$L$143*EFEITO!$Z$143</f>
        <v>2881.7028607743819</v>
      </c>
      <c r="L143" s="55">
        <f>EFEITO!$N$143*EFEITO!$AA$143</f>
        <v>2473.2441088124879</v>
      </c>
      <c r="M143" s="55">
        <f>$J$143-EFEITO!$K$143*EFEITO!$Y$143</f>
        <v>0</v>
      </c>
      <c r="N143" s="55">
        <f ca="1">$K$143-EFEITO!$M$143*EFEITO!$Z$143</f>
        <v>0</v>
      </c>
      <c r="O143" s="55">
        <f>$L$143-EFEITO!$O$143*EFEITO!$AA$143</f>
        <v>0</v>
      </c>
      <c r="P143" s="39"/>
      <c r="Q143" s="39"/>
      <c r="R143" s="39"/>
      <c r="S143" s="39"/>
      <c r="T143" s="39"/>
      <c r="U143" s="39"/>
      <c r="V143" s="39"/>
      <c r="W143" s="39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1.25" customHeight="1" x14ac:dyDescent="0.2">
      <c r="A144" s="35" t="s">
        <v>21</v>
      </c>
      <c r="B144" s="35" t="s">
        <v>31</v>
      </c>
      <c r="C144" s="35" t="s">
        <v>23</v>
      </c>
      <c r="D144" s="35" t="s">
        <v>41</v>
      </c>
      <c r="E144" s="35" t="s">
        <v>25</v>
      </c>
      <c r="F144" s="35" t="s">
        <v>25</v>
      </c>
      <c r="G144" s="35" t="s">
        <v>25</v>
      </c>
      <c r="H144" s="35" t="s">
        <v>25</v>
      </c>
      <c r="I144" s="54">
        <v>44682</v>
      </c>
      <c r="J144" s="55">
        <f>EFEITO!$J$144*EFEITO!$Y$144</f>
        <v>0</v>
      </c>
      <c r="K144" s="55">
        <f ca="1">EFEITO!$L$144*EFEITO!$Z$144</f>
        <v>2257.2267533953955</v>
      </c>
      <c r="L144" s="55">
        <f>EFEITO!$N$144*EFEITO!$AA$144</f>
        <v>1937.2825859599225</v>
      </c>
      <c r="M144" s="55">
        <f>$J$144-EFEITO!$K$144*EFEITO!$Y$144</f>
        <v>0</v>
      </c>
      <c r="N144" s="55">
        <f ca="1">$K$144-EFEITO!$M$144*EFEITO!$Z$144</f>
        <v>0</v>
      </c>
      <c r="O144" s="55">
        <f>$L$144-EFEITO!$O$144*EFEITO!$AA$144</f>
        <v>0</v>
      </c>
      <c r="P144" s="39"/>
      <c r="Q144" s="39"/>
      <c r="R144" s="39"/>
      <c r="S144" s="39"/>
      <c r="T144" s="39"/>
      <c r="U144" s="39"/>
      <c r="V144" s="39"/>
      <c r="W144" s="39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1.25" customHeight="1" x14ac:dyDescent="0.2">
      <c r="A145" s="35" t="s">
        <v>21</v>
      </c>
      <c r="B145" s="35" t="s">
        <v>31</v>
      </c>
      <c r="C145" s="35" t="s">
        <v>23</v>
      </c>
      <c r="D145" s="35" t="s">
        <v>41</v>
      </c>
      <c r="E145" s="35" t="s">
        <v>25</v>
      </c>
      <c r="F145" s="35" t="s">
        <v>25</v>
      </c>
      <c r="G145" s="35" t="s">
        <v>25</v>
      </c>
      <c r="H145" s="35" t="s">
        <v>25</v>
      </c>
      <c r="I145" s="54">
        <v>44713</v>
      </c>
      <c r="J145" s="55">
        <f>EFEITO!$J$145*EFEITO!$Y$145</f>
        <v>0</v>
      </c>
      <c r="K145" s="55">
        <f ca="1">EFEITO!$L$145*EFEITO!$Z$145</f>
        <v>1963.9969249976534</v>
      </c>
      <c r="L145" s="55">
        <f>EFEITO!$N$145*EFEITO!$AA$145</f>
        <v>1685.6157831522496</v>
      </c>
      <c r="M145" s="55">
        <f>$J$145-EFEITO!$K$145*EFEITO!$Y$145</f>
        <v>0</v>
      </c>
      <c r="N145" s="55">
        <f ca="1">$K$145-EFEITO!$M$145*EFEITO!$Z$145</f>
        <v>0</v>
      </c>
      <c r="O145" s="55">
        <f>$L$145-EFEITO!$O$145*EFEITO!$AA$145</f>
        <v>0</v>
      </c>
      <c r="P145" s="39"/>
      <c r="Q145" s="39"/>
      <c r="R145" s="39"/>
      <c r="S145" s="39"/>
      <c r="T145" s="39"/>
      <c r="U145" s="39"/>
      <c r="V145" s="39"/>
      <c r="W145" s="39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1.25" customHeight="1" x14ac:dyDescent="0.2">
      <c r="A146" s="35" t="s">
        <v>21</v>
      </c>
      <c r="B146" s="35" t="s">
        <v>31</v>
      </c>
      <c r="C146" s="35" t="s">
        <v>23</v>
      </c>
      <c r="D146" s="35" t="s">
        <v>41</v>
      </c>
      <c r="E146" s="35" t="s">
        <v>25</v>
      </c>
      <c r="F146" s="35" t="s">
        <v>25</v>
      </c>
      <c r="G146" s="35" t="s">
        <v>25</v>
      </c>
      <c r="H146" s="35" t="s">
        <v>25</v>
      </c>
      <c r="I146" s="54">
        <v>44743</v>
      </c>
      <c r="J146" s="55">
        <f>EFEITO!$J$146*EFEITO!$Y$146</f>
        <v>0</v>
      </c>
      <c r="K146" s="55">
        <f ca="1">EFEITO!$L$146*EFEITO!$Z$146</f>
        <v>2026.0531899207219</v>
      </c>
      <c r="L146" s="55">
        <f>EFEITO!$N$146*EFEITO!$AA$146</f>
        <v>1738.8760598188878</v>
      </c>
      <c r="M146" s="55">
        <f>$J$146-EFEITO!$K$146*EFEITO!$Y$146</f>
        <v>0</v>
      </c>
      <c r="N146" s="55">
        <f ca="1">$K$146-EFEITO!$M$146*EFEITO!$Z$146</f>
        <v>0</v>
      </c>
      <c r="O146" s="55">
        <f>$L$146-EFEITO!$O$146*EFEITO!$AA$146</f>
        <v>0</v>
      </c>
      <c r="P146" s="39"/>
      <c r="Q146" s="39"/>
      <c r="R146" s="39"/>
      <c r="S146" s="39"/>
      <c r="T146" s="39"/>
      <c r="U146" s="39"/>
      <c r="V146" s="39"/>
      <c r="W146" s="39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1.25" customHeight="1" x14ac:dyDescent="0.2">
      <c r="A147" s="35" t="s">
        <v>21</v>
      </c>
      <c r="B147" s="35" t="s">
        <v>31</v>
      </c>
      <c r="C147" s="35" t="s">
        <v>23</v>
      </c>
      <c r="D147" s="35" t="s">
        <v>41</v>
      </c>
      <c r="E147" s="35" t="s">
        <v>25</v>
      </c>
      <c r="F147" s="35" t="s">
        <v>25</v>
      </c>
      <c r="G147" s="35" t="s">
        <v>25</v>
      </c>
      <c r="H147" s="35" t="s">
        <v>25</v>
      </c>
      <c r="I147" s="54">
        <v>44774</v>
      </c>
      <c r="J147" s="55">
        <f>EFEITO!$J$147*EFEITO!$Y$147</f>
        <v>0</v>
      </c>
      <c r="K147" s="55">
        <f ca="1">EFEITO!$L$147*EFEITO!$Z$147</f>
        <v>2233.1869390558286</v>
      </c>
      <c r="L147" s="55">
        <f>EFEITO!$N$147*EFEITO!$AA$147</f>
        <v>1916.6502265305041</v>
      </c>
      <c r="M147" s="55">
        <f>$J$147-EFEITO!$K$147*EFEITO!$Y$147</f>
        <v>0</v>
      </c>
      <c r="N147" s="55">
        <f ca="1">$K$147-EFEITO!$M$147*EFEITO!$Z$147</f>
        <v>0</v>
      </c>
      <c r="O147" s="55">
        <f>$L$147-EFEITO!$O$147*EFEITO!$AA$147</f>
        <v>0</v>
      </c>
      <c r="P147" s="39"/>
      <c r="Q147" s="39"/>
      <c r="R147" s="39"/>
      <c r="S147" s="39"/>
      <c r="T147" s="39"/>
      <c r="U147" s="39"/>
      <c r="V147" s="39"/>
      <c r="W147" s="39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1.25" customHeight="1" x14ac:dyDescent="0.2">
      <c r="A148" s="35" t="s">
        <v>21</v>
      </c>
      <c r="B148" s="35" t="s">
        <v>31</v>
      </c>
      <c r="C148" s="35" t="s">
        <v>23</v>
      </c>
      <c r="D148" s="35" t="s">
        <v>45</v>
      </c>
      <c r="E148" s="35" t="s">
        <v>46</v>
      </c>
      <c r="F148" s="35" t="s">
        <v>25</v>
      </c>
      <c r="G148" s="35" t="s">
        <v>25</v>
      </c>
      <c r="H148" s="35" t="s">
        <v>25</v>
      </c>
      <c r="I148" s="54">
        <v>44440</v>
      </c>
      <c r="J148" s="55">
        <f>EFEITO!$J$148*EFEITO!$Y$147</f>
        <v>0</v>
      </c>
      <c r="K148" s="55">
        <f ca="1">EFEITO!$L$148*EFEITO!$Z$147</f>
        <v>310.00179189046366</v>
      </c>
      <c r="L148" s="55">
        <f>EFEITO!$N$148*EFEITO!$AA$147</f>
        <v>266.0614721770346</v>
      </c>
      <c r="M148" s="55">
        <f>$J$148-EFEITO!$K$148*EFEITO!$Y$148</f>
        <v>0</v>
      </c>
      <c r="N148" s="55">
        <f ca="1">$K$148-EFEITO!$M$148*EFEITO!$Z$148</f>
        <v>9.3000537567139077</v>
      </c>
      <c r="O148" s="55">
        <f>$L$148-EFEITO!$O$148*EFEITO!$AA$148</f>
        <v>7.9818441653110881</v>
      </c>
      <c r="P148" s="39"/>
      <c r="Q148" s="39"/>
      <c r="R148" s="39"/>
      <c r="S148" s="39"/>
      <c r="T148" s="39"/>
      <c r="U148" s="39"/>
      <c r="V148" s="39"/>
      <c r="W148" s="39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1.25" customHeight="1" x14ac:dyDescent="0.2">
      <c r="A149" s="35" t="s">
        <v>21</v>
      </c>
      <c r="B149" s="35" t="s">
        <v>31</v>
      </c>
      <c r="C149" s="35" t="s">
        <v>23</v>
      </c>
      <c r="D149" s="35" t="s">
        <v>45</v>
      </c>
      <c r="E149" s="35" t="s">
        <v>46</v>
      </c>
      <c r="F149" s="35" t="s">
        <v>25</v>
      </c>
      <c r="G149" s="35" t="s">
        <v>25</v>
      </c>
      <c r="H149" s="35" t="s">
        <v>25</v>
      </c>
      <c r="I149" s="54">
        <v>44470</v>
      </c>
      <c r="J149" s="55">
        <f>EFEITO!$J$149*EFEITO!$Y$147</f>
        <v>0</v>
      </c>
      <c r="K149" s="55">
        <f ca="1">EFEITO!$L$149*EFEITO!$Z$147</f>
        <v>284.8438466513818</v>
      </c>
      <c r="L149" s="55">
        <f>EFEITO!$N$149*EFEITO!$AA$147</f>
        <v>244.46946812299208</v>
      </c>
      <c r="M149" s="55">
        <f>$J$149-EFEITO!$K$149*EFEITO!$Y$149</f>
        <v>0</v>
      </c>
      <c r="N149" s="55">
        <f ca="1">$K$149-EFEITO!$M$149*EFEITO!$Z$149</f>
        <v>8.5453153995414368</v>
      </c>
      <c r="O149" s="55">
        <f>$L$149-EFEITO!$O$149*EFEITO!$AA$149</f>
        <v>7.3340840436897849</v>
      </c>
      <c r="P149" s="39"/>
      <c r="Q149" s="39"/>
      <c r="R149" s="39"/>
      <c r="S149" s="39"/>
      <c r="T149" s="39"/>
      <c r="U149" s="39"/>
      <c r="V149" s="39"/>
      <c r="W149" s="39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1.25" customHeight="1" x14ac:dyDescent="0.2">
      <c r="A150" s="35" t="s">
        <v>21</v>
      </c>
      <c r="B150" s="35" t="s">
        <v>31</v>
      </c>
      <c r="C150" s="35" t="s">
        <v>23</v>
      </c>
      <c r="D150" s="35" t="s">
        <v>45</v>
      </c>
      <c r="E150" s="35" t="s">
        <v>46</v>
      </c>
      <c r="F150" s="35" t="s">
        <v>25</v>
      </c>
      <c r="G150" s="35" t="s">
        <v>25</v>
      </c>
      <c r="H150" s="35" t="s">
        <v>25</v>
      </c>
      <c r="I150" s="54">
        <v>44501</v>
      </c>
      <c r="J150" s="55">
        <f>EFEITO!$J$150*EFEITO!$Y$147</f>
        <v>0</v>
      </c>
      <c r="K150" s="55">
        <f ca="1">EFEITO!$L$150*EFEITO!$Z$147</f>
        <v>303.57253921825389</v>
      </c>
      <c r="L150" s="55">
        <f>EFEITO!$N$150*EFEITO!$AA$147</f>
        <v>260.54351558544596</v>
      </c>
      <c r="M150" s="55">
        <f>$J$150-EFEITO!$K$150*EFEITO!$Y$150</f>
        <v>0</v>
      </c>
      <c r="N150" s="55">
        <f ca="1">$K$150-EFEITO!$M$150*EFEITO!$Z$150</f>
        <v>9.1071761765476253</v>
      </c>
      <c r="O150" s="55">
        <f>$L$150-EFEITO!$O$150*EFEITO!$AA$150</f>
        <v>7.8163054675633816</v>
      </c>
      <c r="P150" s="39"/>
      <c r="Q150" s="39"/>
      <c r="R150" s="39"/>
      <c r="S150" s="39"/>
      <c r="T150" s="39"/>
      <c r="U150" s="39"/>
      <c r="V150" s="39"/>
      <c r="W150" s="39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1.25" customHeight="1" x14ac:dyDescent="0.2">
      <c r="A151" s="35" t="s">
        <v>21</v>
      </c>
      <c r="B151" s="35" t="s">
        <v>31</v>
      </c>
      <c r="C151" s="35" t="s">
        <v>23</v>
      </c>
      <c r="D151" s="35" t="s">
        <v>45</v>
      </c>
      <c r="E151" s="35" t="s">
        <v>46</v>
      </c>
      <c r="F151" s="35" t="s">
        <v>25</v>
      </c>
      <c r="G151" s="35" t="s">
        <v>25</v>
      </c>
      <c r="H151" s="35" t="s">
        <v>25</v>
      </c>
      <c r="I151" s="54">
        <v>44531</v>
      </c>
      <c r="J151" s="55">
        <f>EFEITO!$J$151*EFEITO!$Y$147</f>
        <v>0</v>
      </c>
      <c r="K151" s="55">
        <f ca="1">EFEITO!$L$151*EFEITO!$Z$147</f>
        <v>353.60889697153874</v>
      </c>
      <c r="L151" s="55">
        <f>EFEITO!$N$151*EFEITO!$AA$147</f>
        <v>303.48761253737484</v>
      </c>
      <c r="M151" s="55">
        <f>$J$151-EFEITO!$K$151*EFEITO!$Y$151</f>
        <v>0</v>
      </c>
      <c r="N151" s="55">
        <f ca="1">$K$151-EFEITO!$M$151*EFEITO!$Z$151</f>
        <v>10.608266909146096</v>
      </c>
      <c r="O151" s="55">
        <f>$L$151-EFEITO!$O$151*EFEITO!$AA$151</f>
        <v>9.1046283761212408</v>
      </c>
      <c r="P151" s="39"/>
      <c r="Q151" s="39"/>
      <c r="R151" s="39"/>
      <c r="S151" s="39"/>
      <c r="T151" s="39"/>
      <c r="U151" s="39"/>
      <c r="V151" s="39"/>
      <c r="W151" s="39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1.25" customHeight="1" x14ac:dyDescent="0.2">
      <c r="A152" s="35" t="s">
        <v>21</v>
      </c>
      <c r="B152" s="35" t="s">
        <v>31</v>
      </c>
      <c r="C152" s="35" t="s">
        <v>23</v>
      </c>
      <c r="D152" s="35" t="s">
        <v>45</v>
      </c>
      <c r="E152" s="35" t="s">
        <v>46</v>
      </c>
      <c r="F152" s="35" t="s">
        <v>25</v>
      </c>
      <c r="G152" s="35" t="s">
        <v>25</v>
      </c>
      <c r="H152" s="35" t="s">
        <v>25</v>
      </c>
      <c r="I152" s="54">
        <v>44562</v>
      </c>
      <c r="J152" s="55">
        <f>EFEITO!$J$152*EFEITO!$Y$147</f>
        <v>0</v>
      </c>
      <c r="K152" s="55">
        <f ca="1">EFEITO!$L$152*EFEITO!$Z$147</f>
        <v>339.91179345248315</v>
      </c>
      <c r="L152" s="55">
        <f>EFEITO!$N$152*EFEITO!$AA$147</f>
        <v>291.73196588572949</v>
      </c>
      <c r="M152" s="55">
        <f>$J$152-EFEITO!$K$152*EFEITO!$Y$152</f>
        <v>0</v>
      </c>
      <c r="N152" s="55">
        <f ca="1">$K$152-EFEITO!$M$152*EFEITO!$Z$152</f>
        <v>10.197353803574515</v>
      </c>
      <c r="O152" s="55">
        <f>$L$152-EFEITO!$O$152*EFEITO!$AA$152</f>
        <v>8.7519589765718706</v>
      </c>
      <c r="P152" s="39"/>
      <c r="Q152" s="39"/>
      <c r="R152" s="39"/>
      <c r="S152" s="39"/>
      <c r="T152" s="39"/>
      <c r="U152" s="39"/>
      <c r="V152" s="39"/>
      <c r="W152" s="39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1.25" customHeight="1" x14ac:dyDescent="0.2">
      <c r="A153" s="35" t="s">
        <v>21</v>
      </c>
      <c r="B153" s="35" t="s">
        <v>31</v>
      </c>
      <c r="C153" s="35" t="s">
        <v>23</v>
      </c>
      <c r="D153" s="35" t="s">
        <v>45</v>
      </c>
      <c r="E153" s="35" t="s">
        <v>46</v>
      </c>
      <c r="F153" s="35" t="s">
        <v>25</v>
      </c>
      <c r="G153" s="35" t="s">
        <v>25</v>
      </c>
      <c r="H153" s="35" t="s">
        <v>25</v>
      </c>
      <c r="I153" s="54">
        <v>44621</v>
      </c>
      <c r="J153" s="55">
        <f>EFEITO!$J$153*EFEITO!$Y$147</f>
        <v>0</v>
      </c>
      <c r="K153" s="55">
        <f ca="1">EFEITO!$L$153*EFEITO!$Z$147</f>
        <v>307.48599736655552</v>
      </c>
      <c r="L153" s="55">
        <f>EFEITO!$N$153*EFEITO!$AA$147</f>
        <v>263.90227177163035</v>
      </c>
      <c r="M153" s="55">
        <f>$J$153-EFEITO!$K$153*EFEITO!$Y$153</f>
        <v>0</v>
      </c>
      <c r="N153" s="55">
        <f ca="1">$K$153-EFEITO!$M$153*EFEITO!$Z$153</f>
        <v>9.224579920996689</v>
      </c>
      <c r="O153" s="55">
        <f>$L$153-EFEITO!$O$153*EFEITO!$AA$153</f>
        <v>7.9170681531489322</v>
      </c>
      <c r="P153" s="39"/>
      <c r="Q153" s="39"/>
      <c r="R153" s="39"/>
      <c r="S153" s="39"/>
      <c r="T153" s="39"/>
      <c r="U153" s="39"/>
      <c r="V153" s="39"/>
      <c r="W153" s="39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1.25" customHeight="1" x14ac:dyDescent="0.2">
      <c r="A154" s="35" t="s">
        <v>21</v>
      </c>
      <c r="B154" s="35" t="s">
        <v>31</v>
      </c>
      <c r="C154" s="35" t="s">
        <v>23</v>
      </c>
      <c r="D154" s="35" t="s">
        <v>45</v>
      </c>
      <c r="E154" s="35" t="s">
        <v>46</v>
      </c>
      <c r="F154" s="35" t="s">
        <v>25</v>
      </c>
      <c r="G154" s="35" t="s">
        <v>25</v>
      </c>
      <c r="H154" s="35" t="s">
        <v>25</v>
      </c>
      <c r="I154" s="54">
        <v>44652</v>
      </c>
      <c r="J154" s="55">
        <f>EFEITO!$J$154*EFEITO!$Y$147</f>
        <v>0</v>
      </c>
      <c r="K154" s="55">
        <f ca="1">EFEITO!$L$154*EFEITO!$Z$147</f>
        <v>346.90011157445036</v>
      </c>
      <c r="L154" s="55">
        <f>EFEITO!$N$154*EFEITO!$AA$147</f>
        <v>297.72974478963022</v>
      </c>
      <c r="M154" s="55">
        <f>$J$154-EFEITO!$K$154*EFEITO!$Y$154</f>
        <v>0</v>
      </c>
      <c r="N154" s="55">
        <f ca="1">$K$154-EFEITO!$M$154*EFEITO!$Z$154</f>
        <v>10.407003347233513</v>
      </c>
      <c r="O154" s="55">
        <f>$L$154-EFEITO!$O$154*EFEITO!$AA$154</f>
        <v>8.9318923436889008</v>
      </c>
      <c r="P154" s="39"/>
      <c r="Q154" s="39"/>
      <c r="R154" s="39"/>
      <c r="S154" s="39"/>
      <c r="T154" s="39"/>
      <c r="U154" s="39"/>
      <c r="V154" s="39"/>
      <c r="W154" s="39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1.25" customHeight="1" x14ac:dyDescent="0.2">
      <c r="A155" s="35" t="s">
        <v>21</v>
      </c>
      <c r="B155" s="35" t="s">
        <v>31</v>
      </c>
      <c r="C155" s="35" t="s">
        <v>23</v>
      </c>
      <c r="D155" s="35" t="s">
        <v>45</v>
      </c>
      <c r="E155" s="35" t="s">
        <v>46</v>
      </c>
      <c r="F155" s="35" t="s">
        <v>25</v>
      </c>
      <c r="G155" s="35" t="s">
        <v>25</v>
      </c>
      <c r="H155" s="35" t="s">
        <v>25</v>
      </c>
      <c r="I155" s="54">
        <v>44682</v>
      </c>
      <c r="J155" s="55">
        <f>EFEITO!$J$155*EFEITO!$Y$147</f>
        <v>0</v>
      </c>
      <c r="K155" s="55">
        <f ca="1">EFEITO!$L$155*EFEITO!$Z$147</f>
        <v>318.66730636170291</v>
      </c>
      <c r="L155" s="55">
        <f>EFEITO!$N$155*EFEITO!$AA$147</f>
        <v>273.4987180178714</v>
      </c>
      <c r="M155" s="55">
        <f>$J$155-EFEITO!$K$155*EFEITO!$Y$155</f>
        <v>0</v>
      </c>
      <c r="N155" s="55">
        <f ca="1">$K$155-EFEITO!$M$155*EFEITO!$Z$155</f>
        <v>9.560019190851051</v>
      </c>
      <c r="O155" s="55">
        <f>$L$155-EFEITO!$O$155*EFEITO!$AA$155</f>
        <v>8.2049615405361465</v>
      </c>
      <c r="P155" s="39"/>
      <c r="Q155" s="39"/>
      <c r="R155" s="39"/>
      <c r="S155" s="39"/>
      <c r="T155" s="39"/>
      <c r="U155" s="39"/>
      <c r="V155" s="39"/>
      <c r="W155" s="39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1.25" customHeight="1" x14ac:dyDescent="0.2">
      <c r="A156" s="35" t="s">
        <v>21</v>
      </c>
      <c r="B156" s="35" t="s">
        <v>31</v>
      </c>
      <c r="C156" s="35" t="s">
        <v>23</v>
      </c>
      <c r="D156" s="35" t="s">
        <v>45</v>
      </c>
      <c r="E156" s="35" t="s">
        <v>46</v>
      </c>
      <c r="F156" s="35" t="s">
        <v>25</v>
      </c>
      <c r="G156" s="35" t="s">
        <v>25</v>
      </c>
      <c r="H156" s="35" t="s">
        <v>25</v>
      </c>
      <c r="I156" s="54">
        <v>44713</v>
      </c>
      <c r="J156" s="55">
        <f>EFEITO!$J$156*EFEITO!$Y$147</f>
        <v>0</v>
      </c>
      <c r="K156" s="55">
        <f ca="1">EFEITO!$L$156*EFEITO!$Z$147</f>
        <v>353.32936424666013</v>
      </c>
      <c r="L156" s="55">
        <f>EFEITO!$N$156*EFEITO!$AA$147</f>
        <v>303.24770138121886</v>
      </c>
      <c r="M156" s="55">
        <f>$J$156-EFEITO!$K$156*EFEITO!$Y$156</f>
        <v>0</v>
      </c>
      <c r="N156" s="55">
        <f ca="1">$K$156-EFEITO!$M$156*EFEITO!$Z$156</f>
        <v>10.599880927399795</v>
      </c>
      <c r="O156" s="55">
        <f>$L$156-EFEITO!$O$156*EFEITO!$AA$156</f>
        <v>9.0974310414366073</v>
      </c>
      <c r="P156" s="39"/>
      <c r="Q156" s="39"/>
      <c r="R156" s="39"/>
      <c r="S156" s="39"/>
      <c r="T156" s="39"/>
      <c r="U156" s="39"/>
      <c r="V156" s="39"/>
      <c r="W156" s="39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1.25" customHeight="1" x14ac:dyDescent="0.2">
      <c r="A157" s="35" t="s">
        <v>21</v>
      </c>
      <c r="B157" s="35" t="s">
        <v>31</v>
      </c>
      <c r="C157" s="35" t="s">
        <v>23</v>
      </c>
      <c r="D157" s="35" t="s">
        <v>45</v>
      </c>
      <c r="E157" s="35" t="s">
        <v>46</v>
      </c>
      <c r="F157" s="35" t="s">
        <v>25</v>
      </c>
      <c r="G157" s="35" t="s">
        <v>25</v>
      </c>
      <c r="H157" s="35" t="s">
        <v>25</v>
      </c>
      <c r="I157" s="54">
        <v>44743</v>
      </c>
      <c r="J157" s="55">
        <f>EFEITO!$J$157*EFEITO!$Y$147</f>
        <v>0</v>
      </c>
      <c r="K157" s="55">
        <f ca="1">EFEITO!$L$157*EFEITO!$Z$147</f>
        <v>327.8918862826996</v>
      </c>
      <c r="L157" s="55">
        <f>EFEITO!$N$157*EFEITO!$AA$147</f>
        <v>281.41578617102033</v>
      </c>
      <c r="M157" s="55">
        <f>$J$157-EFEITO!$K$157*EFEITO!$Y$157</f>
        <v>0</v>
      </c>
      <c r="N157" s="55">
        <f ca="1">$K$157-EFEITO!$M$157*EFEITO!$Z$157</f>
        <v>9.8367565884809665</v>
      </c>
      <c r="O157" s="55">
        <f>$L$157-EFEITO!$O$157*EFEITO!$AA$157</f>
        <v>8.4424735851305854</v>
      </c>
      <c r="P157" s="39"/>
      <c r="Q157" s="39"/>
      <c r="R157" s="39"/>
      <c r="S157" s="39"/>
      <c r="T157" s="39"/>
      <c r="U157" s="39"/>
      <c r="V157" s="39"/>
      <c r="W157" s="39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1.25" customHeight="1" x14ac:dyDescent="0.2">
      <c r="A158" s="35" t="s">
        <v>21</v>
      </c>
      <c r="B158" s="35" t="s">
        <v>31</v>
      </c>
      <c r="C158" s="35" t="s">
        <v>23</v>
      </c>
      <c r="D158" s="35" t="s">
        <v>45</v>
      </c>
      <c r="E158" s="35" t="s">
        <v>46</v>
      </c>
      <c r="F158" s="35" t="s">
        <v>25</v>
      </c>
      <c r="G158" s="35" t="s">
        <v>25</v>
      </c>
      <c r="H158" s="35" t="s">
        <v>25</v>
      </c>
      <c r="I158" s="54">
        <v>44774</v>
      </c>
      <c r="J158" s="55">
        <f>EFEITO!$J$158*EFEITO!$Y$147</f>
        <v>0</v>
      </c>
      <c r="K158" s="55">
        <f ca="1">EFEITO!$L$158*EFEITO!$Z$147</f>
        <v>332.64394260563728</v>
      </c>
      <c r="L158" s="55">
        <f>EFEITO!$N$158*EFEITO!$AA$147</f>
        <v>285.49427582567279</v>
      </c>
      <c r="M158" s="55">
        <f>$J$158-EFEITO!$K$158*EFEITO!$Y$158</f>
        <v>0</v>
      </c>
      <c r="N158" s="55">
        <f ca="1">$K$158-EFEITO!$M$158*EFEITO!$Z$158</f>
        <v>9.979318278169103</v>
      </c>
      <c r="O158" s="55">
        <f>$L$158-EFEITO!$O$158*EFEITO!$AA$158</f>
        <v>8.5648282747702069</v>
      </c>
      <c r="P158" s="39"/>
      <c r="Q158" s="39"/>
      <c r="R158" s="39"/>
      <c r="S158" s="39"/>
      <c r="T158" s="39"/>
      <c r="U158" s="39"/>
      <c r="V158" s="39"/>
      <c r="W158" s="39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1.25" customHeight="1" x14ac:dyDescent="0.2">
      <c r="A159" s="35" t="s">
        <v>21</v>
      </c>
      <c r="B159" s="35" t="s">
        <v>42</v>
      </c>
      <c r="C159" s="35" t="s">
        <v>23</v>
      </c>
      <c r="D159" s="35" t="s">
        <v>43</v>
      </c>
      <c r="E159" s="35" t="s">
        <v>44</v>
      </c>
      <c r="F159" s="35" t="s">
        <v>25</v>
      </c>
      <c r="G159" s="35" t="s">
        <v>25</v>
      </c>
      <c r="H159" s="35" t="s">
        <v>25</v>
      </c>
      <c r="I159" s="54">
        <v>44440</v>
      </c>
      <c r="J159" s="55">
        <f>EFEITO!$J$159*EFEITO!$Y$159</f>
        <v>0</v>
      </c>
      <c r="K159" s="55">
        <f ca="1">EFEITO!$L$159*EFEITO!$Z$159</f>
        <v>7649.1893901253607</v>
      </c>
      <c r="L159" s="55">
        <f>EFEITO!$N$159*EFEITO!$AA$159</f>
        <v>6564.9768592847695</v>
      </c>
      <c r="M159" s="55">
        <f>$J$159-EFEITO!$K$159*EFEITO!$Y$159</f>
        <v>0</v>
      </c>
      <c r="N159" s="55">
        <f ca="1">$K$159-EFEITO!$M$159*EFEITO!$Z$159</f>
        <v>0</v>
      </c>
      <c r="O159" s="55">
        <f>$L$159-EFEITO!$O$159*EFEITO!$AA$159</f>
        <v>0</v>
      </c>
      <c r="P159" s="39"/>
      <c r="Q159" s="39"/>
      <c r="R159" s="39"/>
      <c r="S159" s="39"/>
      <c r="T159" s="39"/>
      <c r="U159" s="39"/>
      <c r="V159" s="39"/>
      <c r="W159" s="39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1.25" customHeight="1" x14ac:dyDescent="0.2">
      <c r="A160" s="35" t="s">
        <v>21</v>
      </c>
      <c r="B160" s="35" t="s">
        <v>42</v>
      </c>
      <c r="C160" s="35" t="s">
        <v>23</v>
      </c>
      <c r="D160" s="35" t="s">
        <v>43</v>
      </c>
      <c r="E160" s="35" t="s">
        <v>44</v>
      </c>
      <c r="F160" s="35" t="s">
        <v>25</v>
      </c>
      <c r="G160" s="35" t="s">
        <v>25</v>
      </c>
      <c r="H160" s="35" t="s">
        <v>25</v>
      </c>
      <c r="I160" s="54">
        <v>44470</v>
      </c>
      <c r="J160" s="55">
        <f>EFEITO!$J$160*EFEITO!$Y$160</f>
        <v>0</v>
      </c>
      <c r="K160" s="55">
        <f ca="1">EFEITO!$L$160*EFEITO!$Z$160</f>
        <v>7649.1893901253607</v>
      </c>
      <c r="L160" s="55">
        <f>EFEITO!$N$160*EFEITO!$AA$160</f>
        <v>6564.9768592847695</v>
      </c>
      <c r="M160" s="55">
        <f>$J$160-EFEITO!$K$160*EFEITO!$Y$160</f>
        <v>0</v>
      </c>
      <c r="N160" s="55">
        <f ca="1">$K$160-EFEITO!$M$160*EFEITO!$Z$160</f>
        <v>0</v>
      </c>
      <c r="O160" s="55">
        <f>$L$160-EFEITO!$O$160*EFEITO!$AA$160</f>
        <v>0</v>
      </c>
      <c r="P160" s="39"/>
      <c r="Q160" s="39"/>
      <c r="R160" s="39"/>
      <c r="S160" s="39"/>
      <c r="T160" s="39"/>
      <c r="U160" s="39"/>
      <c r="V160" s="39"/>
      <c r="W160" s="39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1.25" customHeight="1" x14ac:dyDescent="0.2">
      <c r="A161" s="35" t="s">
        <v>21</v>
      </c>
      <c r="B161" s="35" t="s">
        <v>42</v>
      </c>
      <c r="C161" s="35" t="s">
        <v>23</v>
      </c>
      <c r="D161" s="35" t="s">
        <v>43</v>
      </c>
      <c r="E161" s="35" t="s">
        <v>44</v>
      </c>
      <c r="F161" s="35" t="s">
        <v>25</v>
      </c>
      <c r="G161" s="35" t="s">
        <v>25</v>
      </c>
      <c r="H161" s="35" t="s">
        <v>25</v>
      </c>
      <c r="I161" s="54">
        <v>44501</v>
      </c>
      <c r="J161" s="55">
        <f>EFEITO!$J$161*EFEITO!$Y$161</f>
        <v>0</v>
      </c>
      <c r="K161" s="55">
        <f ca="1">EFEITO!$L$161*EFEITO!$Z$161</f>
        <v>7649.1893901253607</v>
      </c>
      <c r="L161" s="55">
        <f>EFEITO!$N$161*EFEITO!$AA$161</f>
        <v>6564.9768592847695</v>
      </c>
      <c r="M161" s="55">
        <f>$J$161-EFEITO!$K$161*EFEITO!$Y$161</f>
        <v>0</v>
      </c>
      <c r="N161" s="55">
        <f ca="1">$K$161-EFEITO!$M$161*EFEITO!$Z$161</f>
        <v>0</v>
      </c>
      <c r="O161" s="55">
        <f>$L$161-EFEITO!$O$161*EFEITO!$AA$161</f>
        <v>0</v>
      </c>
      <c r="P161" s="39"/>
      <c r="Q161" s="39"/>
      <c r="R161" s="39"/>
      <c r="S161" s="39"/>
      <c r="T161" s="39"/>
      <c r="U161" s="39"/>
      <c r="V161" s="39"/>
      <c r="W161" s="39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1.25" customHeight="1" x14ac:dyDescent="0.2">
      <c r="A162" s="35" t="s">
        <v>21</v>
      </c>
      <c r="B162" s="35" t="s">
        <v>42</v>
      </c>
      <c r="C162" s="35" t="s">
        <v>23</v>
      </c>
      <c r="D162" s="35" t="s">
        <v>43</v>
      </c>
      <c r="E162" s="35" t="s">
        <v>44</v>
      </c>
      <c r="F162" s="35" t="s">
        <v>25</v>
      </c>
      <c r="G162" s="35" t="s">
        <v>25</v>
      </c>
      <c r="H162" s="35" t="s">
        <v>25</v>
      </c>
      <c r="I162" s="54">
        <v>44531</v>
      </c>
      <c r="J162" s="55">
        <f>EFEITO!$J$162*EFEITO!$Y$162</f>
        <v>0</v>
      </c>
      <c r="K162" s="55">
        <f ca="1">EFEITO!$L$162*EFEITO!$Z$162</f>
        <v>7649.1893901253607</v>
      </c>
      <c r="L162" s="55">
        <f>EFEITO!$N$162*EFEITO!$AA$162</f>
        <v>6564.9768592847695</v>
      </c>
      <c r="M162" s="55">
        <f>$J$162-EFEITO!$K$162*EFEITO!$Y$162</f>
        <v>0</v>
      </c>
      <c r="N162" s="55">
        <f ca="1">$K$162-EFEITO!$M$162*EFEITO!$Z$162</f>
        <v>0</v>
      </c>
      <c r="O162" s="55">
        <f>$L$162-EFEITO!$O$162*EFEITO!$AA$162</f>
        <v>0</v>
      </c>
      <c r="P162" s="39"/>
      <c r="Q162" s="39"/>
      <c r="R162" s="39"/>
      <c r="S162" s="39"/>
      <c r="T162" s="39"/>
      <c r="U162" s="39"/>
      <c r="V162" s="39"/>
      <c r="W162" s="39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1.25" customHeight="1" x14ac:dyDescent="0.2">
      <c r="A163" s="35" t="s">
        <v>21</v>
      </c>
      <c r="B163" s="35" t="s">
        <v>42</v>
      </c>
      <c r="C163" s="35" t="s">
        <v>23</v>
      </c>
      <c r="D163" s="35" t="s">
        <v>43</v>
      </c>
      <c r="E163" s="35" t="s">
        <v>44</v>
      </c>
      <c r="F163" s="35" t="s">
        <v>25</v>
      </c>
      <c r="G163" s="35" t="s">
        <v>25</v>
      </c>
      <c r="H163" s="35" t="s">
        <v>25</v>
      </c>
      <c r="I163" s="54">
        <v>44562</v>
      </c>
      <c r="J163" s="55">
        <f>EFEITO!$J$163*EFEITO!$Y$163</f>
        <v>0</v>
      </c>
      <c r="K163" s="55">
        <f ca="1">EFEITO!$L$163*EFEITO!$Z$163</f>
        <v>7649.1893901253607</v>
      </c>
      <c r="L163" s="55">
        <f>EFEITO!$N$163*EFEITO!$AA$163</f>
        <v>6564.9768592847695</v>
      </c>
      <c r="M163" s="55">
        <f>$J$163-EFEITO!$K$163*EFEITO!$Y$163</f>
        <v>0</v>
      </c>
      <c r="N163" s="55">
        <f ca="1">$K$163-EFEITO!$M$163*EFEITO!$Z$163</f>
        <v>0</v>
      </c>
      <c r="O163" s="55">
        <f>$L$163-EFEITO!$O$163*EFEITO!$AA$163</f>
        <v>0</v>
      </c>
      <c r="P163" s="39"/>
      <c r="Q163" s="39"/>
      <c r="R163" s="39"/>
      <c r="S163" s="39"/>
      <c r="T163" s="39"/>
      <c r="U163" s="39"/>
      <c r="V163" s="39"/>
      <c r="W163" s="39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1.25" customHeight="1" x14ac:dyDescent="0.2">
      <c r="A164" s="35" t="s">
        <v>21</v>
      </c>
      <c r="B164" s="35" t="s">
        <v>42</v>
      </c>
      <c r="C164" s="35" t="s">
        <v>23</v>
      </c>
      <c r="D164" s="35" t="s">
        <v>43</v>
      </c>
      <c r="E164" s="35" t="s">
        <v>44</v>
      </c>
      <c r="F164" s="35" t="s">
        <v>25</v>
      </c>
      <c r="G164" s="35" t="s">
        <v>25</v>
      </c>
      <c r="H164" s="35" t="s">
        <v>25</v>
      </c>
      <c r="I164" s="54">
        <v>44593</v>
      </c>
      <c r="J164" s="55">
        <f>EFEITO!$J$164*EFEITO!$Y$164</f>
        <v>0</v>
      </c>
      <c r="K164" s="55">
        <f ca="1">EFEITO!$L$164*EFEITO!$Z$164</f>
        <v>7649.1893901253607</v>
      </c>
      <c r="L164" s="55">
        <f>EFEITO!$N$164*EFEITO!$AA$164</f>
        <v>6564.9768592847695</v>
      </c>
      <c r="M164" s="55">
        <f>$J$164-EFEITO!$K$164*EFEITO!$Y$164</f>
        <v>0</v>
      </c>
      <c r="N164" s="55">
        <f ca="1">$K$164-EFEITO!$M$164*EFEITO!$Z$164</f>
        <v>0</v>
      </c>
      <c r="O164" s="55">
        <f>$L$164-EFEITO!$O$164*EFEITO!$AA$164</f>
        <v>0</v>
      </c>
      <c r="P164" s="39"/>
      <c r="Q164" s="39"/>
      <c r="R164" s="39"/>
      <c r="S164" s="39"/>
      <c r="T164" s="39"/>
      <c r="U164" s="39"/>
      <c r="V164" s="39"/>
      <c r="W164" s="39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1.25" customHeight="1" x14ac:dyDescent="0.2">
      <c r="A165" s="35" t="s">
        <v>21</v>
      </c>
      <c r="B165" s="35" t="s">
        <v>42</v>
      </c>
      <c r="C165" s="35" t="s">
        <v>23</v>
      </c>
      <c r="D165" s="35" t="s">
        <v>43</v>
      </c>
      <c r="E165" s="35" t="s">
        <v>44</v>
      </c>
      <c r="F165" s="35" t="s">
        <v>25</v>
      </c>
      <c r="G165" s="35" t="s">
        <v>25</v>
      </c>
      <c r="H165" s="35" t="s">
        <v>25</v>
      </c>
      <c r="I165" s="54">
        <v>44621</v>
      </c>
      <c r="J165" s="55">
        <f>EFEITO!$J$165*EFEITO!$Y$165</f>
        <v>0</v>
      </c>
      <c r="K165" s="55">
        <f ca="1">EFEITO!$L$165*EFEITO!$Z$165</f>
        <v>7649.1893901253607</v>
      </c>
      <c r="L165" s="55">
        <f>EFEITO!$N$165*EFEITO!$AA$165</f>
        <v>6564.9768592847695</v>
      </c>
      <c r="M165" s="55">
        <f>$J$165-EFEITO!$K$165*EFEITO!$Y$165</f>
        <v>0</v>
      </c>
      <c r="N165" s="55">
        <f ca="1">$K$165-EFEITO!$M$165*EFEITO!$Z$165</f>
        <v>0</v>
      </c>
      <c r="O165" s="55">
        <f>$L$165-EFEITO!$O$165*EFEITO!$AA$165</f>
        <v>0</v>
      </c>
      <c r="P165" s="39"/>
      <c r="Q165" s="39"/>
      <c r="R165" s="39"/>
      <c r="S165" s="39"/>
      <c r="T165" s="39"/>
      <c r="U165" s="39"/>
      <c r="V165" s="39"/>
      <c r="W165" s="39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1.25" customHeight="1" x14ac:dyDescent="0.2">
      <c r="A166" s="35" t="s">
        <v>21</v>
      </c>
      <c r="B166" s="35" t="s">
        <v>42</v>
      </c>
      <c r="C166" s="35" t="s">
        <v>23</v>
      </c>
      <c r="D166" s="35" t="s">
        <v>43</v>
      </c>
      <c r="E166" s="35" t="s">
        <v>44</v>
      </c>
      <c r="F166" s="35" t="s">
        <v>25</v>
      </c>
      <c r="G166" s="35" t="s">
        <v>25</v>
      </c>
      <c r="H166" s="35" t="s">
        <v>25</v>
      </c>
      <c r="I166" s="54">
        <v>44652</v>
      </c>
      <c r="J166" s="55">
        <f>EFEITO!$J$166*EFEITO!$Y$166</f>
        <v>0</v>
      </c>
      <c r="K166" s="55">
        <f ca="1">EFEITO!$L$166*EFEITO!$Z$166</f>
        <v>7649.1893901253607</v>
      </c>
      <c r="L166" s="55">
        <f>EFEITO!$N$166*EFEITO!$AA$166</f>
        <v>6564.9768592847695</v>
      </c>
      <c r="M166" s="55">
        <f>$J$166-EFEITO!$K$166*EFEITO!$Y$166</f>
        <v>0</v>
      </c>
      <c r="N166" s="55">
        <f ca="1">$K$166-EFEITO!$M$166*EFEITO!$Z$166</f>
        <v>0</v>
      </c>
      <c r="O166" s="55">
        <f>$L$166-EFEITO!$O$166*EFEITO!$AA$166</f>
        <v>0</v>
      </c>
      <c r="P166" s="39"/>
      <c r="Q166" s="39"/>
      <c r="R166" s="39"/>
      <c r="S166" s="39"/>
      <c r="T166" s="39"/>
      <c r="U166" s="39"/>
      <c r="V166" s="39"/>
      <c r="W166" s="39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1.25" customHeight="1" x14ac:dyDescent="0.2">
      <c r="A167" s="35" t="s">
        <v>21</v>
      </c>
      <c r="B167" s="35" t="s">
        <v>42</v>
      </c>
      <c r="C167" s="35" t="s">
        <v>23</v>
      </c>
      <c r="D167" s="35" t="s">
        <v>43</v>
      </c>
      <c r="E167" s="35" t="s">
        <v>44</v>
      </c>
      <c r="F167" s="35" t="s">
        <v>25</v>
      </c>
      <c r="G167" s="35" t="s">
        <v>25</v>
      </c>
      <c r="H167" s="35" t="s">
        <v>25</v>
      </c>
      <c r="I167" s="54">
        <v>44682</v>
      </c>
      <c r="J167" s="55">
        <f>EFEITO!$J$167*EFEITO!$Y$167</f>
        <v>0</v>
      </c>
      <c r="K167" s="55">
        <f ca="1">EFEITO!$L$167*EFEITO!$Z$167</f>
        <v>7649.1893901253607</v>
      </c>
      <c r="L167" s="55">
        <f>EFEITO!$N$167*EFEITO!$AA$167</f>
        <v>6564.9768592847695</v>
      </c>
      <c r="M167" s="55">
        <f>$J$167-EFEITO!$K$167*EFEITO!$Y$167</f>
        <v>0</v>
      </c>
      <c r="N167" s="55">
        <f ca="1">$K$167-EFEITO!$M$167*EFEITO!$Z$167</f>
        <v>0</v>
      </c>
      <c r="O167" s="55">
        <f>$L$167-EFEITO!$O$167*EFEITO!$AA$167</f>
        <v>0</v>
      </c>
      <c r="P167" s="39"/>
      <c r="Q167" s="39"/>
      <c r="R167" s="39"/>
      <c r="S167" s="39"/>
      <c r="T167" s="39"/>
      <c r="U167" s="39"/>
      <c r="V167" s="39"/>
      <c r="W167" s="39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1.25" customHeight="1" x14ac:dyDescent="0.2">
      <c r="A168" s="35" t="s">
        <v>21</v>
      </c>
      <c r="B168" s="35" t="s">
        <v>42</v>
      </c>
      <c r="C168" s="35" t="s">
        <v>23</v>
      </c>
      <c r="D168" s="35" t="s">
        <v>43</v>
      </c>
      <c r="E168" s="35" t="s">
        <v>44</v>
      </c>
      <c r="F168" s="35" t="s">
        <v>25</v>
      </c>
      <c r="G168" s="35" t="s">
        <v>25</v>
      </c>
      <c r="H168" s="35" t="s">
        <v>25</v>
      </c>
      <c r="I168" s="54">
        <v>44713</v>
      </c>
      <c r="J168" s="55">
        <f>EFEITO!$J$168*EFEITO!$Y$168</f>
        <v>0</v>
      </c>
      <c r="K168" s="55">
        <f ca="1">EFEITO!$L$168*EFEITO!$Z$168</f>
        <v>7649.1893901253607</v>
      </c>
      <c r="L168" s="55">
        <f>EFEITO!$N$168*EFEITO!$AA$168</f>
        <v>6564.9768592847695</v>
      </c>
      <c r="M168" s="55">
        <f>$J$168-EFEITO!$K$168*EFEITO!$Y$168</f>
        <v>0</v>
      </c>
      <c r="N168" s="55">
        <f ca="1">$K$168-EFEITO!$M$168*EFEITO!$Z$168</f>
        <v>0</v>
      </c>
      <c r="O168" s="55">
        <f>$L$168-EFEITO!$O$168*EFEITO!$AA$168</f>
        <v>0</v>
      </c>
      <c r="P168" s="39"/>
      <c r="Q168" s="39"/>
      <c r="R168" s="39"/>
      <c r="S168" s="39"/>
      <c r="T168" s="39"/>
      <c r="U168" s="39"/>
      <c r="V168" s="39"/>
      <c r="W168" s="39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1.25" customHeight="1" x14ac:dyDescent="0.2">
      <c r="A169" s="35" t="s">
        <v>21</v>
      </c>
      <c r="B169" s="35" t="s">
        <v>42</v>
      </c>
      <c r="C169" s="35" t="s">
        <v>23</v>
      </c>
      <c r="D169" s="35" t="s">
        <v>43</v>
      </c>
      <c r="E169" s="35" t="s">
        <v>44</v>
      </c>
      <c r="F169" s="35" t="s">
        <v>25</v>
      </c>
      <c r="G169" s="35" t="s">
        <v>25</v>
      </c>
      <c r="H169" s="35" t="s">
        <v>25</v>
      </c>
      <c r="I169" s="54">
        <v>44743</v>
      </c>
      <c r="J169" s="55">
        <f>EFEITO!$J$169*EFEITO!$Y$169</f>
        <v>0</v>
      </c>
      <c r="K169" s="55">
        <f ca="1">EFEITO!$L$169*EFEITO!$Z$169</f>
        <v>7649.1893901253607</v>
      </c>
      <c r="L169" s="55">
        <f>EFEITO!$N$169*EFEITO!$AA$169</f>
        <v>6564.9768592847695</v>
      </c>
      <c r="M169" s="55">
        <f>$J$169-EFEITO!$K$169*EFEITO!$Y$169</f>
        <v>0</v>
      </c>
      <c r="N169" s="55">
        <f ca="1">$K$169-EFEITO!$M$169*EFEITO!$Z$169</f>
        <v>0</v>
      </c>
      <c r="O169" s="55">
        <f>$L$169-EFEITO!$O$169*EFEITO!$AA$169</f>
        <v>0</v>
      </c>
      <c r="P169" s="39"/>
      <c r="Q169" s="39"/>
      <c r="R169" s="39"/>
      <c r="S169" s="39"/>
      <c r="T169" s="39"/>
      <c r="U169" s="39"/>
      <c r="V169" s="39"/>
      <c r="W169" s="39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1.25" customHeight="1" x14ac:dyDescent="0.2">
      <c r="A170" s="35" t="s">
        <v>21</v>
      </c>
      <c r="B170" s="35" t="s">
        <v>42</v>
      </c>
      <c r="C170" s="35" t="s">
        <v>23</v>
      </c>
      <c r="D170" s="35" t="s">
        <v>43</v>
      </c>
      <c r="E170" s="35" t="s">
        <v>44</v>
      </c>
      <c r="F170" s="35" t="s">
        <v>25</v>
      </c>
      <c r="G170" s="35" t="s">
        <v>25</v>
      </c>
      <c r="H170" s="35" t="s">
        <v>25</v>
      </c>
      <c r="I170" s="54">
        <v>44774</v>
      </c>
      <c r="J170" s="55">
        <f>EFEITO!$J$170*EFEITO!$Y$170</f>
        <v>0</v>
      </c>
      <c r="K170" s="55">
        <f ca="1">EFEITO!$L$170*EFEITO!$Z$170</f>
        <v>7649.1893901253607</v>
      </c>
      <c r="L170" s="55">
        <f>EFEITO!$N$170*EFEITO!$AA$170</f>
        <v>6564.9768592847695</v>
      </c>
      <c r="M170" s="55">
        <f>$J$170-EFEITO!$K$170*EFEITO!$Y$170</f>
        <v>0</v>
      </c>
      <c r="N170" s="55">
        <f ca="1">$K$170-EFEITO!$M$170*EFEITO!$Z$170</f>
        <v>0</v>
      </c>
      <c r="O170" s="55">
        <f>$L$170-EFEITO!$O$170*EFEITO!$AA$170</f>
        <v>0</v>
      </c>
      <c r="P170" s="39"/>
      <c r="Q170" s="39"/>
      <c r="R170" s="39"/>
      <c r="S170" s="39"/>
      <c r="T170" s="39"/>
      <c r="U170" s="39"/>
      <c r="V170" s="39"/>
      <c r="W170" s="39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5596-FAE0-4685-A8C5-AB097D8B44CA}">
  <dimension ref="A1:BD103"/>
  <sheetViews>
    <sheetView showGridLines="0" topLeftCell="D35" workbookViewId="0">
      <selection activeCell="L53" sqref="L53:BD103"/>
    </sheetView>
  </sheetViews>
  <sheetFormatPr defaultRowHeight="11.25" customHeight="1" x14ac:dyDescent="0.25"/>
  <cols>
    <col min="1" max="1" width="9.28515625" style="9" bestFit="1" customWidth="1"/>
    <col min="2" max="2" width="23.42578125" style="9" bestFit="1" customWidth="1"/>
    <col min="3" max="3" width="33" style="9" bestFit="1" customWidth="1"/>
    <col min="4" max="4" width="56.140625" style="9" bestFit="1" customWidth="1"/>
    <col min="5" max="5" width="65.7109375" style="9" bestFit="1" customWidth="1"/>
    <col min="6" max="6" width="75.42578125" style="9" bestFit="1" customWidth="1"/>
    <col min="7" max="7" width="7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7.42578125" style="9" bestFit="1" customWidth="1"/>
    <col min="21" max="21" width="7.28515625" style="9" bestFit="1" customWidth="1"/>
    <col min="22" max="23" width="9.85546875" style="9" bestFit="1" customWidth="1"/>
    <col min="24" max="24" width="8.7109375" style="9" bestFit="1" customWidth="1"/>
    <col min="25" max="25" width="7.7109375" style="9" bestFit="1" customWidth="1"/>
    <col min="26" max="26" width="9.85546875" style="9" bestFit="1" customWidth="1"/>
    <col min="27" max="27" width="11.7109375" style="9" bestFit="1" customWidth="1"/>
    <col min="28" max="28" width="8" style="9" bestFit="1" customWidth="1"/>
    <col min="29" max="29" width="7.28515625" style="9" bestFit="1" customWidth="1"/>
    <col min="30" max="30" width="15.28515625" style="9" bestFit="1" customWidth="1"/>
    <col min="31" max="31" width="18" style="9" bestFit="1" customWidth="1"/>
    <col min="32" max="32" width="19.140625" style="9" bestFit="1" customWidth="1"/>
    <col min="33" max="33" width="4" style="9" bestFit="1" customWidth="1"/>
    <col min="34" max="34" width="9.140625" style="9"/>
    <col min="35" max="35" width="13.42578125" style="9" bestFit="1" customWidth="1"/>
    <col min="36" max="36" width="7.85546875" style="9" bestFit="1" customWidth="1"/>
    <col min="37" max="38" width="4.140625" style="9" bestFit="1" customWidth="1"/>
    <col min="39" max="39" width="4.42578125" style="9" bestFit="1" customWidth="1"/>
    <col min="40" max="40" width="10" style="9" bestFit="1" customWidth="1"/>
    <col min="41" max="42" width="8.7109375" style="9" bestFit="1" customWidth="1"/>
    <col min="43" max="43" width="7.42578125" style="9" bestFit="1" customWidth="1"/>
    <col min="44" max="44" width="7.28515625" style="9" bestFit="1" customWidth="1"/>
    <col min="45" max="46" width="9.85546875" style="9" bestFit="1" customWidth="1"/>
    <col min="47" max="47" width="8.7109375" style="9" bestFit="1" customWidth="1"/>
    <col min="48" max="48" width="7.7109375" style="9" bestFit="1" customWidth="1"/>
    <col min="49" max="49" width="9.85546875" style="9" bestFit="1" customWidth="1"/>
    <col min="50" max="50" width="11.7109375" style="9" bestFit="1" customWidth="1"/>
    <col min="51" max="51" width="8" style="9" bestFit="1" customWidth="1"/>
    <col min="52" max="52" width="7.28515625" style="9" bestFit="1" customWidth="1"/>
    <col min="53" max="53" width="15.28515625" style="9" bestFit="1" customWidth="1"/>
    <col min="54" max="54" width="18" style="9" bestFit="1" customWidth="1"/>
    <col min="55" max="55" width="19.140625" style="9" bestFit="1" customWidth="1"/>
    <col min="56" max="56" width="4" style="9" bestFit="1" customWidth="1"/>
    <col min="57" max="16384" width="9.140625" style="9"/>
  </cols>
  <sheetData>
    <row r="1" spans="1:56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625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I1" s="105" t="s">
        <v>626</v>
      </c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</row>
    <row r="2" spans="1:56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I2" s="105" t="s">
        <v>322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</row>
    <row r="3" spans="1:56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 t="s">
        <v>332</v>
      </c>
      <c r="U3" s="105"/>
      <c r="V3" s="105"/>
      <c r="W3" s="105"/>
      <c r="X3" s="105"/>
      <c r="Y3" s="105"/>
      <c r="Z3" s="105"/>
      <c r="AA3" s="10" t="s">
        <v>340</v>
      </c>
      <c r="AB3" s="105" t="s">
        <v>342</v>
      </c>
      <c r="AC3" s="105"/>
      <c r="AD3" s="105" t="s">
        <v>345</v>
      </c>
      <c r="AE3" s="105"/>
      <c r="AF3" s="105"/>
      <c r="AG3" s="105"/>
      <c r="AI3" s="105" t="s">
        <v>323</v>
      </c>
      <c r="AJ3" s="105"/>
      <c r="AK3" s="105"/>
      <c r="AL3" s="105"/>
      <c r="AM3" s="105"/>
      <c r="AN3" s="105"/>
      <c r="AO3" s="105"/>
      <c r="AP3" s="105"/>
      <c r="AQ3" s="105" t="s">
        <v>332</v>
      </c>
      <c r="AR3" s="105"/>
      <c r="AS3" s="105"/>
      <c r="AT3" s="105"/>
      <c r="AU3" s="105"/>
      <c r="AV3" s="105"/>
      <c r="AW3" s="105"/>
      <c r="AX3" s="10" t="s">
        <v>340</v>
      </c>
      <c r="AY3" s="105" t="s">
        <v>342</v>
      </c>
      <c r="AZ3" s="105"/>
      <c r="BA3" s="105" t="s">
        <v>345</v>
      </c>
      <c r="BB3" s="105"/>
      <c r="BC3" s="105"/>
      <c r="BD3" s="105"/>
    </row>
    <row r="4" spans="1:56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333</v>
      </c>
      <c r="U4" s="10" t="s">
        <v>334</v>
      </c>
      <c r="V4" s="10" t="s">
        <v>335</v>
      </c>
      <c r="W4" s="10" t="s">
        <v>336</v>
      </c>
      <c r="X4" s="10" t="s">
        <v>337</v>
      </c>
      <c r="Y4" s="10" t="s">
        <v>338</v>
      </c>
      <c r="Z4" s="10" t="s">
        <v>339</v>
      </c>
      <c r="AA4" s="10" t="s">
        <v>341</v>
      </c>
      <c r="AB4" s="10" t="s">
        <v>343</v>
      </c>
      <c r="AC4" s="10" t="s">
        <v>344</v>
      </c>
      <c r="AD4" s="10" t="s">
        <v>346</v>
      </c>
      <c r="AE4" s="10" t="s">
        <v>347</v>
      </c>
      <c r="AF4" s="10" t="s">
        <v>348</v>
      </c>
      <c r="AG4" s="10" t="s">
        <v>349</v>
      </c>
      <c r="AI4" s="10" t="s">
        <v>408</v>
      </c>
      <c r="AJ4" s="10" t="s">
        <v>324</v>
      </c>
      <c r="AK4" s="10" t="s">
        <v>325</v>
      </c>
      <c r="AL4" s="10" t="s">
        <v>326</v>
      </c>
      <c r="AM4" s="10" t="s">
        <v>327</v>
      </c>
      <c r="AN4" s="10" t="s">
        <v>328</v>
      </c>
      <c r="AO4" s="10" t="s">
        <v>329</v>
      </c>
      <c r="AP4" s="10" t="s">
        <v>330</v>
      </c>
      <c r="AQ4" s="10" t="s">
        <v>333</v>
      </c>
      <c r="AR4" s="10" t="s">
        <v>334</v>
      </c>
      <c r="AS4" s="10" t="s">
        <v>335</v>
      </c>
      <c r="AT4" s="10" t="s">
        <v>336</v>
      </c>
      <c r="AU4" s="10" t="s">
        <v>337</v>
      </c>
      <c r="AV4" s="10" t="s">
        <v>338</v>
      </c>
      <c r="AW4" s="10" t="s">
        <v>339</v>
      </c>
      <c r="AX4" s="10" t="s">
        <v>341</v>
      </c>
      <c r="AY4" s="10" t="s">
        <v>343</v>
      </c>
      <c r="AZ4" s="10" t="s">
        <v>344</v>
      </c>
      <c r="BA4" s="10" t="s">
        <v>346</v>
      </c>
      <c r="BB4" s="10" t="s">
        <v>347</v>
      </c>
      <c r="BC4" s="10" t="s">
        <v>348</v>
      </c>
      <c r="BD4" s="10" t="s">
        <v>349</v>
      </c>
    </row>
    <row r="5" spans="1:56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>
        <f>('TUSD BE'!$L$5+'TUSD BF'!$L$5+'TUSD CVA'!$L$5)*1</f>
        <v>0</v>
      </c>
      <c r="M5" s="12">
        <f>('TUSD BE'!$M$5+'TUSD BF'!$M$5+'TUSD CVA'!$M$5)*1</f>
        <v>0</v>
      </c>
      <c r="N5" s="12">
        <f ca="1">('TUSD BE'!$N$5+'TUSD BF'!$N$5+'TUSD CVA'!$N$5)*1</f>
        <v>0</v>
      </c>
      <c r="O5" s="12">
        <f>('TUSD BE'!$O$5+'TUSD BF'!$O$5+'TUSD CVA'!$O$5)*1</f>
        <v>0</v>
      </c>
      <c r="P5" s="12">
        <f>('TUSD BE'!$P$5+'TUSD BF'!$P$5+'TUSD CVA'!$P$5)*1</f>
        <v>0</v>
      </c>
      <c r="Q5" s="12">
        <f>('TUSD BE'!$Q$5+'TUSD BF'!$Q$5+'TUSD CVA'!$Q$5)*1</f>
        <v>0</v>
      </c>
      <c r="R5" s="12">
        <f>('TUSD BE'!$R$5+'TUSD BF'!$R$5+'TUSD CVA'!$R$5)*1</f>
        <v>0</v>
      </c>
      <c r="S5" s="12">
        <f>('TUSD BE'!$S$5+'TUSD BF'!$S$5+'TUSD CVA'!$S$5)*1</f>
        <v>0</v>
      </c>
      <c r="T5" s="12">
        <f>('TUSD BE'!$U$5+'TUSD BF'!$U$5+'TUSD CVA'!$U$5)*1</f>
        <v>0</v>
      </c>
      <c r="U5" s="12">
        <f>('TUSD BE'!$V$5+'TUSD BF'!$V$5+'TUSD CVA'!$V$5)*1</f>
        <v>0</v>
      </c>
      <c r="V5" s="12">
        <f>('TUSD BE'!$W$5+'TUSD BF'!$W$5+'TUSD CVA'!$W$5)*1</f>
        <v>0</v>
      </c>
      <c r="W5" s="12">
        <f>('TUSD BE'!$X$5+'TUSD BF'!$X$5+'TUSD CVA'!$X$5)*1</f>
        <v>0</v>
      </c>
      <c r="X5" s="12">
        <f>('TUSD BE'!$Y$5+'TUSD BF'!$Y$5+'TUSD CVA'!$Y$5)*1</f>
        <v>12.166913252423866</v>
      </c>
      <c r="Y5" s="12">
        <f>('TUSD BE'!$Z$5+'TUSD BF'!$Z$5+'TUSD CVA'!$Z$5)*1</f>
        <v>0</v>
      </c>
      <c r="Z5" s="12">
        <f>('TUSD BE'!$AA$5+'TUSD BF'!$AA$5+'TUSD CVA'!$AA$5)*1</f>
        <v>0</v>
      </c>
      <c r="AA5" s="12">
        <f>('TUSD BE'!$AC$5+'TUSD BF'!$AC$5+'TUSD CVA'!$AC$5)*1</f>
        <v>29.802953040693978</v>
      </c>
      <c r="AB5" s="12">
        <f ca="1">('TUSD BE'!$AE$5+'TUSD BF'!$AE$5+'TUSD CVA'!$AE$5)*1</f>
        <v>-1.0377459263841506</v>
      </c>
      <c r="AC5" s="12">
        <f ca="1">('TUSD BE'!$AF$5+'TUSD BF'!$AF$5+'TUSD CVA'!$AF$5)*1</f>
        <v>0</v>
      </c>
      <c r="AD5" s="12">
        <f>('TUSD BE'!$AH$5+'TUSD BF'!$AH$5+'TUSD CVA'!$AH$5)*1</f>
        <v>0</v>
      </c>
      <c r="AE5" s="12">
        <f>('TUSD BE'!$AI$5+'TUSD BF'!$AI$5+'TUSD CVA'!$AI$5)*1</f>
        <v>0</v>
      </c>
      <c r="AF5" s="12">
        <f ca="1">('TUSD BE'!$AJ$5+'TUSD BF'!$AJ$5+'TUSD CVA'!$AJ$5)*1</f>
        <v>0</v>
      </c>
      <c r="AG5" s="12">
        <f ca="1">('TUSD BE'!$AK$5+'TUSD BF'!$AK$5+'TUSD CVA'!$AK$5)*1</f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13.639448010134201</v>
      </c>
      <c r="AV5" s="12">
        <v>0</v>
      </c>
      <c r="AW5" s="12">
        <v>0</v>
      </c>
      <c r="AX5" s="12">
        <v>26.7589551772313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>
        <f>('TUSD BE'!$L$6+'TUSD BF'!$L$6+'TUSD CVA'!$L$6)*1</f>
        <v>0</v>
      </c>
      <c r="M6" s="12">
        <f>('TUSD BE'!$M$6+'TUSD BF'!$M$6+'TUSD CVA'!$M$6)*1</f>
        <v>0</v>
      </c>
      <c r="N6" s="12">
        <f ca="1">('TUSD BE'!$N$6+'TUSD BF'!$N$6+'TUSD CVA'!$N$6)*1</f>
        <v>0</v>
      </c>
      <c r="O6" s="12">
        <f>('TUSD BE'!$O$6+'TUSD BF'!$O$6+'TUSD CVA'!$O$6)*1</f>
        <v>0</v>
      </c>
      <c r="P6" s="12">
        <f>('TUSD BE'!$P$6+'TUSD BF'!$P$6+'TUSD CVA'!$P$6)*1</f>
        <v>0</v>
      </c>
      <c r="Q6" s="12">
        <f>('TUSD BE'!$Q$6+'TUSD BF'!$Q$6+'TUSD CVA'!$Q$6)*1</f>
        <v>0</v>
      </c>
      <c r="R6" s="12">
        <f>('TUSD BE'!$R$6+'TUSD BF'!$R$6+'TUSD CVA'!$R$6)*1</f>
        <v>0</v>
      </c>
      <c r="S6" s="12">
        <f>('TUSD BE'!$S$6+'TUSD BF'!$S$6+'TUSD CVA'!$S$6)*1</f>
        <v>0</v>
      </c>
      <c r="T6" s="12">
        <f>('TUSD BE'!$U$6+'TUSD BF'!$U$6+'TUSD CVA'!$U$6)*1</f>
        <v>0</v>
      </c>
      <c r="U6" s="12">
        <f>('TUSD BE'!$V$6+'TUSD BF'!$V$6+'TUSD CVA'!$V$6)*1</f>
        <v>0</v>
      </c>
      <c r="V6" s="12">
        <f>('TUSD BE'!$W$6+'TUSD BF'!$W$6+'TUSD CVA'!$W$6)*1</f>
        <v>0</v>
      </c>
      <c r="W6" s="12">
        <f>('TUSD BE'!$X$6+'TUSD BF'!$X$6+'TUSD CVA'!$X$6)*1</f>
        <v>0</v>
      </c>
      <c r="X6" s="12">
        <f>('TUSD BE'!$Y$6+'TUSD BF'!$Y$6+'TUSD CVA'!$Y$6)*1</f>
        <v>7.0035682745229888</v>
      </c>
      <c r="Y6" s="12">
        <f>('TUSD BE'!$Z$6+'TUSD BF'!$Z$6+'TUSD CVA'!$Z$6)*1</f>
        <v>0</v>
      </c>
      <c r="Z6" s="12">
        <f>('TUSD BE'!$AA$6+'TUSD BF'!$AA$6+'TUSD CVA'!$AA$6)*1</f>
        <v>0</v>
      </c>
      <c r="AA6" s="12">
        <f>('TUSD BE'!$AC$6+'TUSD BF'!$AC$6+'TUSD CVA'!$AC$6)*1</f>
        <v>8.1569760057172083</v>
      </c>
      <c r="AB6" s="12">
        <f ca="1">('TUSD BE'!$AE$6+'TUSD BF'!$AE$6+'TUSD CVA'!$AE$6)*1</f>
        <v>-0.37299543253083989</v>
      </c>
      <c r="AC6" s="12">
        <f ca="1">('TUSD BE'!$AF$6+'TUSD BF'!$AF$6+'TUSD CVA'!$AF$6)*1</f>
        <v>0</v>
      </c>
      <c r="AD6" s="12">
        <f>('TUSD BE'!$AH$6+'TUSD BF'!$AH$6+'TUSD CVA'!$AH$6)*1</f>
        <v>0</v>
      </c>
      <c r="AE6" s="12">
        <f>('TUSD BE'!$AI$6+'TUSD BF'!$AI$6+'TUSD CVA'!$AI$6)*1</f>
        <v>0</v>
      </c>
      <c r="AF6" s="12">
        <f ca="1">('TUSD BE'!$AJ$6+'TUSD BF'!$AJ$6+'TUSD CVA'!$AJ$6)*1</f>
        <v>0</v>
      </c>
      <c r="AG6" s="12">
        <f ca="1">('TUSD BE'!$AK$6+'TUSD BF'!$AK$6+'TUSD CVA'!$AK$6)*1</f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5.5306792714572399</v>
      </c>
      <c r="AV6" s="12">
        <v>0</v>
      </c>
      <c r="AW6" s="12">
        <v>0</v>
      </c>
      <c r="AX6" s="12">
        <v>7.4772488282431402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>
        <f>('TUSD BE'!$L$7+'TUSD BF'!$L$7+'TUSD CVA'!$L$7)*1</f>
        <v>0</v>
      </c>
      <c r="M7" s="12">
        <f>('TUSD BE'!$M$7+'TUSD BF'!$M$7+'TUSD CVA'!$M$7)*1</f>
        <v>0.33436141276092479</v>
      </c>
      <c r="N7" s="12">
        <f ca="1">('TUSD BE'!$N$7+'TUSD BF'!$N$7+'TUSD CVA'!$N$7)*1</f>
        <v>0</v>
      </c>
      <c r="O7" s="12">
        <f>('TUSD BE'!$O$7+'TUSD BF'!$O$7+'TUSD CVA'!$O$7)*1</f>
        <v>0</v>
      </c>
      <c r="P7" s="12">
        <f>('TUSD BE'!$P$7+'TUSD BF'!$P$7+'TUSD CVA'!$P$7)*1</f>
        <v>0</v>
      </c>
      <c r="Q7" s="12">
        <f>('TUSD BE'!$Q$7+'TUSD BF'!$Q$7+'TUSD CVA'!$Q$7)*1</f>
        <v>74.551261350594046</v>
      </c>
      <c r="R7" s="12">
        <f>('TUSD BE'!$R$7+'TUSD BF'!$R$7+'TUSD CVA'!$R$7)*1</f>
        <v>14.030696755938665</v>
      </c>
      <c r="S7" s="12">
        <f>('TUSD BE'!$S$7+'TUSD BF'!$S$7+'TUSD CVA'!$S$7)*1</f>
        <v>0</v>
      </c>
      <c r="T7" s="12">
        <f>('TUSD BE'!$U$7+'TUSD BF'!$U$7+'TUSD CVA'!$U$7)*1</f>
        <v>0</v>
      </c>
      <c r="U7" s="12">
        <f>('TUSD BE'!$V$7+'TUSD BF'!$V$7+'TUSD CVA'!$V$7)*1</f>
        <v>0</v>
      </c>
      <c r="V7" s="12">
        <f>('TUSD BE'!$W$7+'TUSD BF'!$W$7+'TUSD CVA'!$W$7)*1</f>
        <v>0</v>
      </c>
      <c r="W7" s="12">
        <f>('TUSD BE'!$X$7+'TUSD BF'!$X$7+'TUSD CVA'!$X$7)*1</f>
        <v>0</v>
      </c>
      <c r="X7" s="12">
        <f>('TUSD BE'!$Y$7+'TUSD BF'!$Y$7+'TUSD CVA'!$Y$7)*1</f>
        <v>0</v>
      </c>
      <c r="Y7" s="12">
        <f>('TUSD BE'!$Z$7+'TUSD BF'!$Z$7+'TUSD CVA'!$Z$7)*1</f>
        <v>0</v>
      </c>
      <c r="Z7" s="12">
        <f>('TUSD BE'!$AA$7+'TUSD BF'!$AA$7+'TUSD CVA'!$AA$7)*1</f>
        <v>0</v>
      </c>
      <c r="AA7" s="12">
        <f>('TUSD BE'!$AC$7+'TUSD BF'!$AC$7+'TUSD CVA'!$AC$7)*1</f>
        <v>0</v>
      </c>
      <c r="AB7" s="12">
        <f ca="1">('TUSD BE'!$AE$7+'TUSD BF'!$AE$7+'TUSD CVA'!$AE$7)*1</f>
        <v>-2.4107379531839954</v>
      </c>
      <c r="AC7" s="12">
        <f ca="1">('TUSD BE'!$AF$7+'TUSD BF'!$AF$7+'TUSD CVA'!$AF$7)*1</f>
        <v>0</v>
      </c>
      <c r="AD7" s="12">
        <f>('TUSD BE'!$AH$7+'TUSD BF'!$AH$7+'TUSD CVA'!$AH$7)*1</f>
        <v>6.820590643804362</v>
      </c>
      <c r="AE7" s="12">
        <f>('TUSD BE'!$AI$7+'TUSD BF'!$AI$7+'TUSD CVA'!$AI$7)*1</f>
        <v>0</v>
      </c>
      <c r="AF7" s="12">
        <f ca="1">('TUSD BE'!$AJ$7+'TUSD BF'!$AJ$7+'TUSD CVA'!$AJ$7)*1</f>
        <v>0</v>
      </c>
      <c r="AG7" s="12">
        <f ca="1">('TUSD BE'!$AK$7+'TUSD BF'!$AK$7+'TUSD CVA'!$AK$7)*1</f>
        <v>0</v>
      </c>
      <c r="AI7" s="12">
        <v>0</v>
      </c>
      <c r="AJ7" s="12">
        <v>0.26231495674273397</v>
      </c>
      <c r="AK7" s="12">
        <v>0</v>
      </c>
      <c r="AL7" s="12">
        <v>0</v>
      </c>
      <c r="AM7" s="12">
        <v>0</v>
      </c>
      <c r="AN7" s="12">
        <v>48.421256460077501</v>
      </c>
      <c r="AO7" s="12">
        <v>8.7328579078868902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0.63428451621514903</v>
      </c>
      <c r="BB7" s="12">
        <v>0</v>
      </c>
      <c r="BC7" s="12">
        <v>0</v>
      </c>
      <c r="BD7" s="12">
        <v>0</v>
      </c>
    </row>
    <row r="8" spans="1:56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>
        <f>('TUSD BE'!$L$8+'TUSD BF'!$L$8+'TUSD CVA'!$L$8)*1</f>
        <v>0</v>
      </c>
      <c r="M8" s="12">
        <f>('TUSD BE'!$M$8+'TUSD BF'!$M$8+'TUSD CVA'!$M$8)*1</f>
        <v>0.33436141276092479</v>
      </c>
      <c r="N8" s="12">
        <f ca="1">('TUSD BE'!$N$8+'TUSD BF'!$N$8+'TUSD CVA'!$N$8)*1</f>
        <v>0</v>
      </c>
      <c r="O8" s="12">
        <f>('TUSD BE'!$O$8+'TUSD BF'!$O$8+'TUSD CVA'!$O$8)*1</f>
        <v>0</v>
      </c>
      <c r="P8" s="12">
        <f>('TUSD BE'!$P$8+'TUSD BF'!$P$8+'TUSD CVA'!$P$8)*1</f>
        <v>0</v>
      </c>
      <c r="Q8" s="12">
        <f>('TUSD BE'!$Q$8+'TUSD BF'!$Q$8+'TUSD CVA'!$Q$8)*1</f>
        <v>0</v>
      </c>
      <c r="R8" s="12">
        <f>('TUSD BE'!$R$8+'TUSD BF'!$R$8+'TUSD CVA'!$R$8)*1</f>
        <v>0</v>
      </c>
      <c r="S8" s="12">
        <f>('TUSD BE'!$S$8+'TUSD BF'!$S$8+'TUSD CVA'!$S$8)*1</f>
        <v>0</v>
      </c>
      <c r="T8" s="12">
        <f>('TUSD BE'!$U$8+'TUSD BF'!$U$8+'TUSD CVA'!$U$8)*1</f>
        <v>0</v>
      </c>
      <c r="U8" s="12">
        <f>('TUSD BE'!$V$8+'TUSD BF'!$V$8+'TUSD CVA'!$V$8)*1</f>
        <v>0</v>
      </c>
      <c r="V8" s="12">
        <f>('TUSD BE'!$W$8+'TUSD BF'!$W$8+'TUSD CVA'!$W$8)*1</f>
        <v>0</v>
      </c>
      <c r="W8" s="12">
        <f>('TUSD BE'!$X$8+'TUSD BF'!$X$8+'TUSD CVA'!$X$8)*1</f>
        <v>0</v>
      </c>
      <c r="X8" s="12">
        <f>('TUSD BE'!$Y$8+'TUSD BF'!$Y$8+'TUSD CVA'!$Y$8)*1</f>
        <v>0</v>
      </c>
      <c r="Y8" s="12">
        <f>('TUSD BE'!$Z$8+'TUSD BF'!$Z$8+'TUSD CVA'!$Z$8)*1</f>
        <v>0</v>
      </c>
      <c r="Z8" s="12">
        <f>('TUSD BE'!$AA$8+'TUSD BF'!$AA$8+'TUSD CVA'!$AA$8)*1</f>
        <v>0</v>
      </c>
      <c r="AA8" s="12">
        <f>('TUSD BE'!$AC$8+'TUSD BF'!$AC$8+'TUSD CVA'!$AC$8)*1</f>
        <v>0</v>
      </c>
      <c r="AB8" s="12">
        <f ca="1">('TUSD BE'!$AE$8+'TUSD BF'!$AE$8+'TUSD CVA'!$AE$8)*1</f>
        <v>-0.17712128232447466</v>
      </c>
      <c r="AC8" s="12">
        <f ca="1">('TUSD BE'!$AF$8+'TUSD BF'!$AF$8+'TUSD CVA'!$AF$8)*1</f>
        <v>0</v>
      </c>
      <c r="AD8" s="12">
        <f>('TUSD BE'!$AH$8+'TUSD BF'!$AH$8+'TUSD CVA'!$AH$8)*1</f>
        <v>6.820590643804362</v>
      </c>
      <c r="AE8" s="12">
        <f>('TUSD BE'!$AI$8+'TUSD BF'!$AI$8+'TUSD CVA'!$AI$8)*1</f>
        <v>0</v>
      </c>
      <c r="AF8" s="12">
        <f ca="1">('TUSD BE'!$AJ$8+'TUSD BF'!$AJ$8+'TUSD CVA'!$AJ$8)*1</f>
        <v>0</v>
      </c>
      <c r="AG8" s="12">
        <f ca="1">('TUSD BE'!$AK$8+'TUSD BF'!$AK$8+'TUSD CVA'!$AK$8)*1</f>
        <v>0</v>
      </c>
      <c r="AI8" s="12">
        <v>0</v>
      </c>
      <c r="AJ8" s="12">
        <v>0.26231495674273397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0.63428451621514903</v>
      </c>
      <c r="BB8" s="12">
        <v>0</v>
      </c>
      <c r="BC8" s="12">
        <v>0</v>
      </c>
      <c r="BD8" s="12">
        <v>0</v>
      </c>
    </row>
    <row r="9" spans="1:56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>
        <f>('TUSD BE'!$L$9+'TUSD BF'!$L$9+'TUSD CVA'!$L$9)*1</f>
        <v>0</v>
      </c>
      <c r="M9" s="12">
        <f>('TUSD BE'!$M$9+'TUSD BF'!$M$9+'TUSD CVA'!$M$9)*1</f>
        <v>1.1622532280595439E-2</v>
      </c>
      <c r="N9" s="12">
        <f ca="1">('TUSD BE'!$N$9+'TUSD BF'!$N$9+'TUSD CVA'!$N$9)*1</f>
        <v>0</v>
      </c>
      <c r="O9" s="12">
        <f>('TUSD BE'!$O$9+'TUSD BF'!$O$9+'TUSD CVA'!$O$9)*1</f>
        <v>0</v>
      </c>
      <c r="P9" s="12">
        <f>('TUSD BE'!$P$9+'TUSD BF'!$P$9+'TUSD CVA'!$P$9)*1</f>
        <v>0</v>
      </c>
      <c r="Q9" s="12">
        <f>('TUSD BE'!$Q$9+'TUSD BF'!$Q$9+'TUSD CVA'!$Q$9)*1</f>
        <v>0</v>
      </c>
      <c r="R9" s="12">
        <f>('TUSD BE'!$R$9+'TUSD BF'!$R$9+'TUSD CVA'!$R$9)*1</f>
        <v>0</v>
      </c>
      <c r="S9" s="12">
        <f>('TUSD BE'!$S$9+'TUSD BF'!$S$9+'TUSD CVA'!$S$9)*1</f>
        <v>0</v>
      </c>
      <c r="T9" s="12">
        <f>('TUSD BE'!$U$9+'TUSD BF'!$U$9+'TUSD CVA'!$U$9)*1</f>
        <v>0</v>
      </c>
      <c r="U9" s="12">
        <f>('TUSD BE'!$V$9+'TUSD BF'!$V$9+'TUSD CVA'!$V$9)*1</f>
        <v>0</v>
      </c>
      <c r="V9" s="12">
        <f>('TUSD BE'!$W$9+'TUSD BF'!$W$9+'TUSD CVA'!$W$9)*1</f>
        <v>0</v>
      </c>
      <c r="W9" s="12">
        <f>('TUSD BE'!$X$9+'TUSD BF'!$X$9+'TUSD CVA'!$X$9)*1</f>
        <v>0</v>
      </c>
      <c r="X9" s="12">
        <f>('TUSD BE'!$Y$9+'TUSD BF'!$Y$9+'TUSD CVA'!$Y$9)*1</f>
        <v>0</v>
      </c>
      <c r="Y9" s="12">
        <f>('TUSD BE'!$Z$9+'TUSD BF'!$Z$9+'TUSD CVA'!$Z$9)*1</f>
        <v>0</v>
      </c>
      <c r="Z9" s="12">
        <f>('TUSD BE'!$AA$9+'TUSD BF'!$AA$9+'TUSD CVA'!$AA$9)*1</f>
        <v>0</v>
      </c>
      <c r="AA9" s="12">
        <f>('TUSD BE'!$AC$9+'TUSD BF'!$AC$9+'TUSD CVA'!$AC$9)*1</f>
        <v>4.5526295665628354</v>
      </c>
      <c r="AB9" s="12">
        <f ca="1">('TUSD BE'!$AE$9+'TUSD BF'!$AE$9+'TUSD CVA'!$AE$9)*1</f>
        <v>-0.1138126438177256</v>
      </c>
      <c r="AC9" s="12">
        <f ca="1">('TUSD BE'!$AF$9+'TUSD BF'!$AF$9+'TUSD CVA'!$AF$9)*1</f>
        <v>0</v>
      </c>
      <c r="AD9" s="12">
        <f>('TUSD BE'!$AH$9+'TUSD BF'!$AH$9+'TUSD CVA'!$AH$9)*1</f>
        <v>3.1781327262496445E-4</v>
      </c>
      <c r="AE9" s="12">
        <f>('TUSD BE'!$AI$9+'TUSD BF'!$AI$9+'TUSD CVA'!$AI$9)*1</f>
        <v>0</v>
      </c>
      <c r="AF9" s="12">
        <f ca="1">('TUSD BE'!$AJ$9+'TUSD BF'!$AJ$9+'TUSD CVA'!$AJ$9)*1</f>
        <v>0</v>
      </c>
      <c r="AG9" s="12">
        <f ca="1">('TUSD BE'!$AK$9+'TUSD BF'!$AK$9+'TUSD CVA'!$AK$9)*1</f>
        <v>0</v>
      </c>
      <c r="AI9" s="12">
        <v>0</v>
      </c>
      <c r="AJ9" s="12">
        <v>9.5939793958635892E-3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3.3827210030297001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56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>
        <f>('TUSD BE'!$L$10+'TUSD BF'!$L$10+'TUSD CVA'!$L$10)*1</f>
        <v>0</v>
      </c>
      <c r="M10" s="12">
        <f>('TUSD BE'!$M$10+'TUSD BF'!$M$10+'TUSD CVA'!$M$10)*1</f>
        <v>0</v>
      </c>
      <c r="N10" s="12">
        <f ca="1">('TUSD BE'!$N$10+'TUSD BF'!$N$10+'TUSD CVA'!$N$10)*1</f>
        <v>0</v>
      </c>
      <c r="O10" s="12">
        <f>('TUSD BE'!$O$10+'TUSD BF'!$O$10+'TUSD CVA'!$O$10)*1</f>
        <v>0</v>
      </c>
      <c r="P10" s="12">
        <f>('TUSD BE'!$P$10+'TUSD BF'!$P$10+'TUSD CVA'!$P$10)*1</f>
        <v>0</v>
      </c>
      <c r="Q10" s="12">
        <f>('TUSD BE'!$Q$10+'TUSD BF'!$Q$10+'TUSD CVA'!$Q$10)*1</f>
        <v>0</v>
      </c>
      <c r="R10" s="12">
        <f>('TUSD BE'!$R$10+'TUSD BF'!$R$10+'TUSD CVA'!$R$10)*1</f>
        <v>0</v>
      </c>
      <c r="S10" s="12">
        <f>('TUSD BE'!$S$10+'TUSD BF'!$S$10+'TUSD CVA'!$S$10)*1</f>
        <v>0</v>
      </c>
      <c r="T10" s="12">
        <f>('TUSD BE'!$U$10+'TUSD BF'!$U$10+'TUSD CVA'!$U$10)*1</f>
        <v>0</v>
      </c>
      <c r="U10" s="12">
        <f>('TUSD BE'!$V$10+'TUSD BF'!$V$10+'TUSD CVA'!$V$10)*1</f>
        <v>0</v>
      </c>
      <c r="V10" s="12">
        <f>('TUSD BE'!$W$10+'TUSD BF'!$W$10+'TUSD CVA'!$W$10)*1</f>
        <v>0</v>
      </c>
      <c r="W10" s="12">
        <f>('TUSD BE'!$X$10+'TUSD BF'!$X$10+'TUSD CVA'!$X$10)*1</f>
        <v>0</v>
      </c>
      <c r="X10" s="12">
        <f>('TUSD BE'!$Y$10+'TUSD BF'!$Y$10+'TUSD CVA'!$Y$10)*1</f>
        <v>7.0035682745229888</v>
      </c>
      <c r="Y10" s="12">
        <f>('TUSD BE'!$Z$10+'TUSD BF'!$Z$10+'TUSD CVA'!$Z$10)*1</f>
        <v>0</v>
      </c>
      <c r="Z10" s="12">
        <f>('TUSD BE'!$AA$10+'TUSD BF'!$AA$10+'TUSD CVA'!$AA$10)*1</f>
        <v>0</v>
      </c>
      <c r="AA10" s="12">
        <f>('TUSD BE'!$AC$10+'TUSD BF'!$AC$10+'TUSD CVA'!$AC$10)*1</f>
        <v>8.1569760057172083</v>
      </c>
      <c r="AB10" s="12">
        <f ca="1">('TUSD BE'!$AE$10+'TUSD BF'!$AE$10+'TUSD CVA'!$AE$10)*1</f>
        <v>-0.37299543253083989</v>
      </c>
      <c r="AC10" s="12">
        <f ca="1">('TUSD BE'!$AF$10+'TUSD BF'!$AF$10+'TUSD CVA'!$AF$10)*1</f>
        <v>0</v>
      </c>
      <c r="AD10" s="12">
        <f>('TUSD BE'!$AH$10+'TUSD BF'!$AH$10+'TUSD CVA'!$AH$10)*1</f>
        <v>0</v>
      </c>
      <c r="AE10" s="12">
        <f>('TUSD BE'!$AI$10+'TUSD BF'!$AI$10+'TUSD CVA'!$AI$10)*1</f>
        <v>0</v>
      </c>
      <c r="AF10" s="12">
        <f ca="1">('TUSD BE'!$AJ$10+'TUSD BF'!$AJ$10+'TUSD CVA'!$AJ$10)*1</f>
        <v>0</v>
      </c>
      <c r="AG10" s="12">
        <f ca="1">('TUSD BE'!$AK$10+'TUSD BF'!$AK$10+'TUSD CVA'!$AK$10)*1</f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5.5306792714572399</v>
      </c>
      <c r="AV10" s="12">
        <v>0</v>
      </c>
      <c r="AW10" s="12">
        <v>0</v>
      </c>
      <c r="AX10" s="12">
        <v>7.4772488282431402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>
        <f>('TUSD BE'!$L$11+'TUSD BF'!$L$11+'TUSD CVA'!$L$11)*1</f>
        <v>0</v>
      </c>
      <c r="M11" s="12">
        <f>('TUSD BE'!$M$11+'TUSD BF'!$M$11+'TUSD CVA'!$M$11)*1</f>
        <v>0.33436141276092479</v>
      </c>
      <c r="N11" s="12">
        <f ca="1">('TUSD BE'!$N$11+'TUSD BF'!$N$11+'TUSD CVA'!$N$11)*1</f>
        <v>0</v>
      </c>
      <c r="O11" s="12">
        <f>('TUSD BE'!$O$11+'TUSD BF'!$O$11+'TUSD CVA'!$O$11)*1</f>
        <v>0</v>
      </c>
      <c r="P11" s="12">
        <f>('TUSD BE'!$P$11+'TUSD BF'!$P$11+'TUSD CVA'!$P$11)*1</f>
        <v>0</v>
      </c>
      <c r="Q11" s="12">
        <f>('TUSD BE'!$Q$11+'TUSD BF'!$Q$11+'TUSD CVA'!$Q$11)*1</f>
        <v>74.551261350594046</v>
      </c>
      <c r="R11" s="12">
        <f>('TUSD BE'!$R$11+'TUSD BF'!$R$11+'TUSD CVA'!$R$11)*1</f>
        <v>14.030696755938665</v>
      </c>
      <c r="S11" s="12">
        <f>('TUSD BE'!$S$11+'TUSD BF'!$S$11+'TUSD CVA'!$S$11)*1</f>
        <v>0</v>
      </c>
      <c r="T11" s="12">
        <f>('TUSD BE'!$U$11+'TUSD BF'!$U$11+'TUSD CVA'!$U$11)*1</f>
        <v>0</v>
      </c>
      <c r="U11" s="12">
        <f>('TUSD BE'!$V$11+'TUSD BF'!$V$11+'TUSD CVA'!$V$11)*1</f>
        <v>0</v>
      </c>
      <c r="V11" s="12">
        <f>('TUSD BE'!$W$11+'TUSD BF'!$W$11+'TUSD CVA'!$W$11)*1</f>
        <v>0</v>
      </c>
      <c r="W11" s="12">
        <f>('TUSD BE'!$X$11+'TUSD BF'!$X$11+'TUSD CVA'!$X$11)*1</f>
        <v>0</v>
      </c>
      <c r="X11" s="12">
        <f>('TUSD BE'!$Y$11+'TUSD BF'!$Y$11+'TUSD CVA'!$Y$11)*1</f>
        <v>292.77416661889851</v>
      </c>
      <c r="Y11" s="12">
        <f>('TUSD BE'!$Z$11+'TUSD BF'!$Z$11+'TUSD CVA'!$Z$11)*1</f>
        <v>0</v>
      </c>
      <c r="Z11" s="12">
        <f>('TUSD BE'!$AA$11+'TUSD BF'!$AA$11+'TUSD CVA'!$AA$11)*1</f>
        <v>0</v>
      </c>
      <c r="AA11" s="12">
        <f>('TUSD BE'!$AC$11+'TUSD BF'!$AC$11+'TUSD CVA'!$AC$11)*1</f>
        <v>716.76051695043884</v>
      </c>
      <c r="AB11" s="12">
        <f ca="1">('TUSD BE'!$AE$11+'TUSD BF'!$AE$11+'TUSD CVA'!$AE$11)*1</f>
        <v>-27.372387550088686</v>
      </c>
      <c r="AC11" s="12">
        <f ca="1">('TUSD BE'!$AF$11+'TUSD BF'!$AF$11+'TUSD CVA'!$AF$11)*1</f>
        <v>0</v>
      </c>
      <c r="AD11" s="12">
        <f>('TUSD BE'!$AH$11+'TUSD BF'!$AH$11+'TUSD CVA'!$AH$11)*1</f>
        <v>6.820590643804362</v>
      </c>
      <c r="AE11" s="12">
        <f>('TUSD BE'!$AI$11+'TUSD BF'!$AI$11+'TUSD CVA'!$AI$11)*1</f>
        <v>0</v>
      </c>
      <c r="AF11" s="12">
        <f ca="1">('TUSD BE'!$AJ$11+'TUSD BF'!$AJ$11+'TUSD CVA'!$AJ$11)*1</f>
        <v>0</v>
      </c>
      <c r="AG11" s="12">
        <f ca="1">('TUSD BE'!$AK$11+'TUSD BF'!$AK$11+'TUSD CVA'!$AK$11)*1</f>
        <v>0</v>
      </c>
      <c r="AI11" s="12">
        <v>0</v>
      </c>
      <c r="AJ11" s="12">
        <v>0.26231495674273397</v>
      </c>
      <c r="AK11" s="12">
        <v>0</v>
      </c>
      <c r="AL11" s="12">
        <v>0</v>
      </c>
      <c r="AM11" s="12">
        <v>0</v>
      </c>
      <c r="AN11" s="12">
        <v>48.421256460077501</v>
      </c>
      <c r="AO11" s="12">
        <v>8.7328579078868902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328.56344215699102</v>
      </c>
      <c r="AV11" s="12">
        <v>0</v>
      </c>
      <c r="AW11" s="12">
        <v>0</v>
      </c>
      <c r="AX11" s="12">
        <v>643.54967908783499</v>
      </c>
      <c r="AY11" s="12">
        <v>0</v>
      </c>
      <c r="AZ11" s="12">
        <v>0</v>
      </c>
      <c r="BA11" s="12">
        <v>0.63428451621514903</v>
      </c>
      <c r="BB11" s="12">
        <v>0</v>
      </c>
      <c r="BC11" s="12">
        <v>0</v>
      </c>
      <c r="BD11" s="12">
        <v>0</v>
      </c>
    </row>
    <row r="12" spans="1:56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>
        <f>('TUSD BE'!$L$12+'TUSD BF'!$L$12+'TUSD CVA'!$L$12)*1</f>
        <v>0</v>
      </c>
      <c r="M12" s="12">
        <f>('TUSD BE'!$M$12+'TUSD BF'!$M$12+'TUSD CVA'!$M$12)*1</f>
        <v>0.33436141276092479</v>
      </c>
      <c r="N12" s="12">
        <f ca="1">('TUSD BE'!$N$12+'TUSD BF'!$N$12+'TUSD CVA'!$N$12)*1</f>
        <v>0</v>
      </c>
      <c r="O12" s="12">
        <f>('TUSD BE'!$O$12+'TUSD BF'!$O$12+'TUSD CVA'!$O$12)*1</f>
        <v>0</v>
      </c>
      <c r="P12" s="12">
        <f>('TUSD BE'!$P$12+'TUSD BF'!$P$12+'TUSD CVA'!$P$12)*1</f>
        <v>0</v>
      </c>
      <c r="Q12" s="12">
        <f>('TUSD BE'!$Q$12+'TUSD BF'!$Q$12+'TUSD CVA'!$Q$12)*1</f>
        <v>74.551261350594046</v>
      </c>
      <c r="R12" s="12">
        <f>('TUSD BE'!$R$12+'TUSD BF'!$R$12+'TUSD CVA'!$R$12)*1</f>
        <v>14.030696755938665</v>
      </c>
      <c r="S12" s="12">
        <f>('TUSD BE'!$S$12+'TUSD BF'!$S$12+'TUSD CVA'!$S$12)*1</f>
        <v>0</v>
      </c>
      <c r="T12" s="12">
        <f>('TUSD BE'!$U$12+'TUSD BF'!$U$12+'TUSD CVA'!$U$12)*1</f>
        <v>0</v>
      </c>
      <c r="U12" s="12">
        <f>('TUSD BE'!$V$12+'TUSD BF'!$V$12+'TUSD CVA'!$V$12)*1</f>
        <v>0</v>
      </c>
      <c r="V12" s="12">
        <f>('TUSD BE'!$W$12+'TUSD BF'!$W$12+'TUSD CVA'!$W$12)*1</f>
        <v>0</v>
      </c>
      <c r="W12" s="12">
        <f>('TUSD BE'!$X$12+'TUSD BF'!$X$12+'TUSD CVA'!$X$12)*1</f>
        <v>0</v>
      </c>
      <c r="X12" s="12">
        <f>('TUSD BE'!$Y$12+'TUSD BF'!$Y$12+'TUSD CVA'!$Y$12)*1</f>
        <v>0</v>
      </c>
      <c r="Y12" s="12">
        <f>('TUSD BE'!$Z$12+'TUSD BF'!$Z$12+'TUSD CVA'!$Z$12)*1</f>
        <v>0</v>
      </c>
      <c r="Z12" s="12">
        <f>('TUSD BE'!$AA$12+'TUSD BF'!$AA$12+'TUSD CVA'!$AA$12)*1</f>
        <v>0</v>
      </c>
      <c r="AA12" s="12">
        <f>('TUSD BE'!$AC$12+'TUSD BF'!$AC$12+'TUSD CVA'!$AC$12)*1</f>
        <v>0</v>
      </c>
      <c r="AB12" s="12">
        <f ca="1">('TUSD BE'!$AE$12+'TUSD BF'!$AE$12+'TUSD CVA'!$AE$12)*1</f>
        <v>-2.4107379531839954</v>
      </c>
      <c r="AC12" s="12">
        <f ca="1">('TUSD BE'!$AF$12+'TUSD BF'!$AF$12+'TUSD CVA'!$AF$12)*1</f>
        <v>0</v>
      </c>
      <c r="AD12" s="12">
        <f>('TUSD BE'!$AH$12+'TUSD BF'!$AH$12+'TUSD CVA'!$AH$12)*1</f>
        <v>6.820590643804362</v>
      </c>
      <c r="AE12" s="12">
        <f>('TUSD BE'!$AI$12+'TUSD BF'!$AI$12+'TUSD CVA'!$AI$12)*1</f>
        <v>0</v>
      </c>
      <c r="AF12" s="12">
        <f ca="1">('TUSD BE'!$AJ$12+'TUSD BF'!$AJ$12+'TUSD CVA'!$AJ$12)*1</f>
        <v>0</v>
      </c>
      <c r="AG12" s="12">
        <f ca="1">('TUSD BE'!$AK$12+'TUSD BF'!$AK$12+'TUSD CVA'!$AK$12)*1</f>
        <v>0</v>
      </c>
      <c r="AI12" s="12">
        <v>0</v>
      </c>
      <c r="AJ12" s="12">
        <v>0.26231495674273397</v>
      </c>
      <c r="AK12" s="12">
        <v>0</v>
      </c>
      <c r="AL12" s="12">
        <v>0</v>
      </c>
      <c r="AM12" s="12">
        <v>0</v>
      </c>
      <c r="AN12" s="12">
        <v>48.421256460077501</v>
      </c>
      <c r="AO12" s="12">
        <v>8.7328579078868902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0.63428451621514903</v>
      </c>
      <c r="BB12" s="12">
        <v>0</v>
      </c>
      <c r="BC12" s="12">
        <v>0</v>
      </c>
      <c r="BD12" s="12">
        <v>0</v>
      </c>
    </row>
    <row r="13" spans="1:56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>
        <f>('TUSD BE'!$L$13+'TUSD BF'!$L$13+'TUSD CVA'!$L$13)*1</f>
        <v>0</v>
      </c>
      <c r="M13" s="12">
        <f>('TUSD BE'!$M$13+'TUSD BF'!$M$13+'TUSD CVA'!$M$13)*1</f>
        <v>0.33436141276092479</v>
      </c>
      <c r="N13" s="12">
        <f ca="1">('TUSD BE'!$N$13+'TUSD BF'!$N$13+'TUSD CVA'!$N$13)*1</f>
        <v>0</v>
      </c>
      <c r="O13" s="12">
        <f>('TUSD BE'!$O$13+'TUSD BF'!$O$13+'TUSD CVA'!$O$13)*1</f>
        <v>0</v>
      </c>
      <c r="P13" s="12">
        <f>('TUSD BE'!$P$13+'TUSD BF'!$P$13+'TUSD CVA'!$P$13)*1</f>
        <v>0</v>
      </c>
      <c r="Q13" s="12">
        <f>('TUSD BE'!$Q$13+'TUSD BF'!$Q$13+'TUSD CVA'!$Q$13)*1</f>
        <v>0</v>
      </c>
      <c r="R13" s="12">
        <f>('TUSD BE'!$R$13+'TUSD BF'!$R$13+'TUSD CVA'!$R$13)*1</f>
        <v>0</v>
      </c>
      <c r="S13" s="12">
        <f>('TUSD BE'!$S$13+'TUSD BF'!$S$13+'TUSD CVA'!$S$13)*1</f>
        <v>0</v>
      </c>
      <c r="T13" s="12">
        <f>('TUSD BE'!$U$13+'TUSD BF'!$U$13+'TUSD CVA'!$U$13)*1</f>
        <v>0</v>
      </c>
      <c r="U13" s="12">
        <f>('TUSD BE'!$V$13+'TUSD BF'!$V$13+'TUSD CVA'!$V$13)*1</f>
        <v>0</v>
      </c>
      <c r="V13" s="12">
        <f>('TUSD BE'!$W$13+'TUSD BF'!$W$13+'TUSD CVA'!$W$13)*1</f>
        <v>0</v>
      </c>
      <c r="W13" s="12">
        <f>('TUSD BE'!$X$13+'TUSD BF'!$X$13+'TUSD CVA'!$X$13)*1</f>
        <v>0</v>
      </c>
      <c r="X13" s="12">
        <f>('TUSD BE'!$Y$13+'TUSD BF'!$Y$13+'TUSD CVA'!$Y$13)*1</f>
        <v>292.77416661889851</v>
      </c>
      <c r="Y13" s="12">
        <f>('TUSD BE'!$Z$13+'TUSD BF'!$Z$13+'TUSD CVA'!$Z$13)*1</f>
        <v>0</v>
      </c>
      <c r="Z13" s="12">
        <f>('TUSD BE'!$AA$13+'TUSD BF'!$AA$13+'TUSD CVA'!$AA$13)*1</f>
        <v>0</v>
      </c>
      <c r="AA13" s="12">
        <f>('TUSD BE'!$AC$13+'TUSD BF'!$AC$13+'TUSD CVA'!$AC$13)*1</f>
        <v>716.76051695043884</v>
      </c>
      <c r="AB13" s="12">
        <f ca="1">('TUSD BE'!$AE$13+'TUSD BF'!$AE$13+'TUSD CVA'!$AE$13)*1</f>
        <v>-25.138770879229163</v>
      </c>
      <c r="AC13" s="12">
        <f ca="1">('TUSD BE'!$AF$13+'TUSD BF'!$AF$13+'TUSD CVA'!$AF$13)*1</f>
        <v>0</v>
      </c>
      <c r="AD13" s="12">
        <f>('TUSD BE'!$AH$13+'TUSD BF'!$AH$13+'TUSD CVA'!$AH$13)*1</f>
        <v>6.820590643804362</v>
      </c>
      <c r="AE13" s="12">
        <f>('TUSD BE'!$AI$13+'TUSD BF'!$AI$13+'TUSD CVA'!$AI$13)*1</f>
        <v>0</v>
      </c>
      <c r="AF13" s="12">
        <f ca="1">('TUSD BE'!$AJ$13+'TUSD BF'!$AJ$13+'TUSD CVA'!$AJ$13)*1</f>
        <v>0</v>
      </c>
      <c r="AG13" s="12">
        <f ca="1">('TUSD BE'!$AK$13+'TUSD BF'!$AK$13+'TUSD CVA'!$AK$13)*1</f>
        <v>0</v>
      </c>
      <c r="AI13" s="12">
        <v>0</v>
      </c>
      <c r="AJ13" s="12">
        <v>0.26231495674273397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328.56344215699102</v>
      </c>
      <c r="AV13" s="12">
        <v>0</v>
      </c>
      <c r="AW13" s="12">
        <v>0</v>
      </c>
      <c r="AX13" s="12">
        <v>643.54967908783499</v>
      </c>
      <c r="AY13" s="12">
        <v>0</v>
      </c>
      <c r="AZ13" s="12">
        <v>0</v>
      </c>
      <c r="BA13" s="12">
        <v>0.63428451621514903</v>
      </c>
      <c r="BB13" s="12">
        <v>0</v>
      </c>
      <c r="BC13" s="12">
        <v>0</v>
      </c>
      <c r="BD13" s="12">
        <v>0</v>
      </c>
    </row>
    <row r="14" spans="1:56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>
        <f>('TUSD BE'!$L$14+'TUSD BF'!$L$14+'TUSD CVA'!$L$14)*1</f>
        <v>0</v>
      </c>
      <c r="M14" s="12">
        <f>('TUSD BE'!$M$14+'TUSD BF'!$M$14+'TUSD CVA'!$M$14)*1</f>
        <v>0.33436141276092479</v>
      </c>
      <c r="N14" s="12">
        <f ca="1">('TUSD BE'!$N$14+'TUSD BF'!$N$14+'TUSD CVA'!$N$14)*1</f>
        <v>0</v>
      </c>
      <c r="O14" s="12">
        <f>('TUSD BE'!$O$14+'TUSD BF'!$O$14+'TUSD CVA'!$O$14)*1</f>
        <v>0</v>
      </c>
      <c r="P14" s="12">
        <f>('TUSD BE'!$P$14+'TUSD BF'!$P$14+'TUSD CVA'!$P$14)*1</f>
        <v>0</v>
      </c>
      <c r="Q14" s="12">
        <f>('TUSD BE'!$Q$14+'TUSD BF'!$Q$14+'TUSD CVA'!$Q$14)*1</f>
        <v>0</v>
      </c>
      <c r="R14" s="12">
        <f>('TUSD BE'!$R$14+'TUSD BF'!$R$14+'TUSD CVA'!$R$14)*1</f>
        <v>0</v>
      </c>
      <c r="S14" s="12">
        <f>('TUSD BE'!$S$14+'TUSD BF'!$S$14+'TUSD CVA'!$S$14)*1</f>
        <v>0</v>
      </c>
      <c r="T14" s="12">
        <f>('TUSD BE'!$U$14+'TUSD BF'!$U$14+'TUSD CVA'!$U$14)*1</f>
        <v>0</v>
      </c>
      <c r="U14" s="12">
        <f>('TUSD BE'!$V$14+'TUSD BF'!$V$14+'TUSD CVA'!$V$14)*1</f>
        <v>0</v>
      </c>
      <c r="V14" s="12">
        <f>('TUSD BE'!$W$14+'TUSD BF'!$W$14+'TUSD CVA'!$W$14)*1</f>
        <v>0</v>
      </c>
      <c r="W14" s="12">
        <f>('TUSD BE'!$X$14+'TUSD BF'!$X$14+'TUSD CVA'!$X$14)*1</f>
        <v>0</v>
      </c>
      <c r="X14" s="12">
        <f>('TUSD BE'!$Y$14+'TUSD BF'!$Y$14+'TUSD CVA'!$Y$14)*1</f>
        <v>0</v>
      </c>
      <c r="Y14" s="12">
        <f>('TUSD BE'!$Z$14+'TUSD BF'!$Z$14+'TUSD CVA'!$Z$14)*1</f>
        <v>0</v>
      </c>
      <c r="Z14" s="12">
        <f>('TUSD BE'!$AA$14+'TUSD BF'!$AA$14+'TUSD CVA'!$AA$14)*1</f>
        <v>0</v>
      </c>
      <c r="AA14" s="12">
        <f>('TUSD BE'!$AC$14+'TUSD BF'!$AC$14+'TUSD CVA'!$AC$14)*1</f>
        <v>0</v>
      </c>
      <c r="AB14" s="12">
        <f ca="1">('TUSD BE'!$AE$14+'TUSD BF'!$AE$14+'TUSD CVA'!$AE$14)*1</f>
        <v>-0.17712128232447466</v>
      </c>
      <c r="AC14" s="12">
        <f ca="1">('TUSD BE'!$AF$14+'TUSD BF'!$AF$14+'TUSD CVA'!$AF$14)*1</f>
        <v>0</v>
      </c>
      <c r="AD14" s="12">
        <f>('TUSD BE'!$AH$14+'TUSD BF'!$AH$14+'TUSD CVA'!$AH$14)*1</f>
        <v>6.820590643804362</v>
      </c>
      <c r="AE14" s="12">
        <f>('TUSD BE'!$AI$14+'TUSD BF'!$AI$14+'TUSD CVA'!$AI$14)*1</f>
        <v>0</v>
      </c>
      <c r="AF14" s="12">
        <f ca="1">('TUSD BE'!$AJ$14+'TUSD BF'!$AJ$14+'TUSD CVA'!$AJ$14)*1</f>
        <v>0</v>
      </c>
      <c r="AG14" s="12">
        <f ca="1">('TUSD BE'!$AK$14+'TUSD BF'!$AK$14+'TUSD CVA'!$AK$14)*1</f>
        <v>0</v>
      </c>
      <c r="AI14" s="12">
        <v>0</v>
      </c>
      <c r="AJ14" s="12">
        <v>0.26231495674273397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0.63428451621514903</v>
      </c>
      <c r="BB14" s="12">
        <v>0</v>
      </c>
      <c r="BC14" s="12">
        <v>0</v>
      </c>
      <c r="BD14" s="12">
        <v>0</v>
      </c>
    </row>
    <row r="15" spans="1:56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>
        <f>('TUSD BE'!$L$15+'TUSD BF'!$L$15+'TUSD CVA'!$L$15)*1</f>
        <v>0</v>
      </c>
      <c r="M15" s="12">
        <f>('TUSD BE'!$M$15+'TUSD BF'!$M$15+'TUSD CVA'!$M$15)*1</f>
        <v>6.6556381435888415E-3</v>
      </c>
      <c r="N15" s="12">
        <f ca="1">('TUSD BE'!$N$15+'TUSD BF'!$N$15+'TUSD CVA'!$N$15)*1</f>
        <v>0</v>
      </c>
      <c r="O15" s="12">
        <f>('TUSD BE'!$O$15+'TUSD BF'!$O$15+'TUSD CVA'!$O$15)*1</f>
        <v>0</v>
      </c>
      <c r="P15" s="12">
        <f>('TUSD BE'!$P$15+'TUSD BF'!$P$15+'TUSD CVA'!$P$15)*1</f>
        <v>0</v>
      </c>
      <c r="Q15" s="12">
        <f>('TUSD BE'!$Q$15+'TUSD BF'!$Q$15+'TUSD CVA'!$Q$15)*1</f>
        <v>0</v>
      </c>
      <c r="R15" s="12">
        <f>('TUSD BE'!$R$15+'TUSD BF'!$R$15+'TUSD CVA'!$R$15)*1</f>
        <v>0</v>
      </c>
      <c r="S15" s="12">
        <f>('TUSD BE'!$S$15+'TUSD BF'!$S$15+'TUSD CVA'!$S$15)*1</f>
        <v>0</v>
      </c>
      <c r="T15" s="12">
        <f>('TUSD BE'!$U$15+'TUSD BF'!$U$15+'TUSD CVA'!$U$15)*1</f>
        <v>0</v>
      </c>
      <c r="U15" s="12">
        <f>('TUSD BE'!$V$15+'TUSD BF'!$V$15+'TUSD CVA'!$V$15)*1</f>
        <v>0</v>
      </c>
      <c r="V15" s="12">
        <f>('TUSD BE'!$W$15+'TUSD BF'!$W$15+'TUSD CVA'!$W$15)*1</f>
        <v>0</v>
      </c>
      <c r="W15" s="12">
        <f>('TUSD BE'!$X$15+'TUSD BF'!$X$15+'TUSD CVA'!$X$15)*1</f>
        <v>0</v>
      </c>
      <c r="X15" s="12">
        <f>('TUSD BE'!$Y$15+'TUSD BF'!$Y$15+'TUSD CVA'!$Y$15)*1</f>
        <v>0</v>
      </c>
      <c r="Y15" s="12">
        <f>('TUSD BE'!$Z$15+'TUSD BF'!$Z$15+'TUSD CVA'!$Z$15)*1</f>
        <v>0</v>
      </c>
      <c r="Z15" s="12">
        <f>('TUSD BE'!$AA$15+'TUSD BF'!$AA$15+'TUSD CVA'!$AA$15)*1</f>
        <v>0</v>
      </c>
      <c r="AA15" s="12">
        <f>('TUSD BE'!$AC$15+'TUSD BF'!$AC$15+'TUSD CVA'!$AC$15)*1</f>
        <v>2.6151472266419891</v>
      </c>
      <c r="AB15" s="12">
        <f ca="1">('TUSD BE'!$AE$15+'TUSD BF'!$AE$15+'TUSD CVA'!$AE$15)*1</f>
        <v>-6.5371866422141309E-2</v>
      </c>
      <c r="AC15" s="12">
        <f ca="1">('TUSD BE'!$AF$15+'TUSD BF'!$AF$15+'TUSD CVA'!$AF$15)*1</f>
        <v>0</v>
      </c>
      <c r="AD15" s="12">
        <f>('TUSD BE'!$AH$15+'TUSD BF'!$AH$15+'TUSD CVA'!$AH$15)*1</f>
        <v>0</v>
      </c>
      <c r="AE15" s="12">
        <f>('TUSD BE'!$AI$15+'TUSD BF'!$AI$15+'TUSD CVA'!$AI$15)*1</f>
        <v>0</v>
      </c>
      <c r="AF15" s="12">
        <f ca="1">('TUSD BE'!$AJ$15+'TUSD BF'!$AJ$15+'TUSD CVA'!$AJ$15)*1</f>
        <v>0</v>
      </c>
      <c r="AG15" s="12">
        <f ca="1">('TUSD BE'!$AK$15+'TUSD BF'!$AK$15+'TUSD CVA'!$AK$15)*1</f>
        <v>0</v>
      </c>
      <c r="AI15" s="12">
        <v>0</v>
      </c>
      <c r="AJ15" s="12">
        <v>9.7767218605467106E-3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3.4891830336562402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>
        <f>('TUSD BE'!$L$16+'TUSD BF'!$L$16+'TUSD CVA'!$L$16)*1</f>
        <v>0</v>
      </c>
      <c r="M16" s="12">
        <f>('TUSD BE'!$M$16+'TUSD BF'!$M$16+'TUSD CVA'!$M$16)*1</f>
        <v>6.6556381435888415E-3</v>
      </c>
      <c r="N16" s="12">
        <f ca="1">('TUSD BE'!$N$16+'TUSD BF'!$N$16+'TUSD CVA'!$N$16)*1</f>
        <v>0</v>
      </c>
      <c r="O16" s="12">
        <f>('TUSD BE'!$O$16+'TUSD BF'!$O$16+'TUSD CVA'!$O$16)*1</f>
        <v>0</v>
      </c>
      <c r="P16" s="12">
        <f>('TUSD BE'!$P$16+'TUSD BF'!$P$16+'TUSD CVA'!$P$16)*1</f>
        <v>0</v>
      </c>
      <c r="Q16" s="12">
        <f>('TUSD BE'!$Q$16+'TUSD BF'!$Q$16+'TUSD CVA'!$Q$16)*1</f>
        <v>0</v>
      </c>
      <c r="R16" s="12">
        <f>('TUSD BE'!$R$16+'TUSD BF'!$R$16+'TUSD CVA'!$R$16)*1</f>
        <v>0</v>
      </c>
      <c r="S16" s="12">
        <f>('TUSD BE'!$S$16+'TUSD BF'!$S$16+'TUSD CVA'!$S$16)*1</f>
        <v>0</v>
      </c>
      <c r="T16" s="12">
        <f>('TUSD BE'!$U$16+'TUSD BF'!$U$16+'TUSD CVA'!$U$16)*1</f>
        <v>0</v>
      </c>
      <c r="U16" s="12">
        <f>('TUSD BE'!$V$16+'TUSD BF'!$V$16+'TUSD CVA'!$V$16)*1</f>
        <v>0</v>
      </c>
      <c r="V16" s="12">
        <f>('TUSD BE'!$W$16+'TUSD BF'!$W$16+'TUSD CVA'!$W$16)*1</f>
        <v>0</v>
      </c>
      <c r="W16" s="12">
        <f>('TUSD BE'!$X$16+'TUSD BF'!$X$16+'TUSD CVA'!$X$16)*1</f>
        <v>0</v>
      </c>
      <c r="X16" s="12">
        <f>('TUSD BE'!$Y$16+'TUSD BF'!$Y$16+'TUSD CVA'!$Y$16)*1</f>
        <v>0</v>
      </c>
      <c r="Y16" s="12">
        <f>('TUSD BE'!$Z$16+'TUSD BF'!$Z$16+'TUSD CVA'!$Z$16)*1</f>
        <v>0</v>
      </c>
      <c r="Z16" s="12">
        <f>('TUSD BE'!$AA$16+'TUSD BF'!$AA$16+'TUSD CVA'!$AA$16)*1</f>
        <v>0</v>
      </c>
      <c r="AA16" s="12">
        <f>('TUSD BE'!$AC$16+'TUSD BF'!$AC$16+'TUSD CVA'!$AC$16)*1</f>
        <v>7.7840053697699316</v>
      </c>
      <c r="AB16" s="12">
        <f ca="1">('TUSD BE'!$AE$16+'TUSD BF'!$AE$16+'TUSD CVA'!$AE$16)*1</f>
        <v>-0.19424756043410382</v>
      </c>
      <c r="AC16" s="12">
        <f ca="1">('TUSD BE'!$AF$16+'TUSD BF'!$AF$16+'TUSD CVA'!$AF$16)*1</f>
        <v>0</v>
      </c>
      <c r="AD16" s="12">
        <f>('TUSD BE'!$AH$16+'TUSD BF'!$AH$16+'TUSD CVA'!$AH$16)*1</f>
        <v>0</v>
      </c>
      <c r="AE16" s="12">
        <f>('TUSD BE'!$AI$16+'TUSD BF'!$AI$16+'TUSD CVA'!$AI$16)*1</f>
        <v>0</v>
      </c>
      <c r="AF16" s="12">
        <f ca="1">('TUSD BE'!$AJ$16+'TUSD BF'!$AJ$16+'TUSD CVA'!$AJ$16)*1</f>
        <v>0</v>
      </c>
      <c r="AG16" s="12">
        <f ca="1">('TUSD BE'!$AK$16+'TUSD BF'!$AK$16+'TUSD CVA'!$AK$16)*1</f>
        <v>0</v>
      </c>
      <c r="AI16" s="12">
        <v>0</v>
      </c>
      <c r="AJ16" s="12">
        <v>9.7767218605467106E-3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7.0989668548647797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>
        <f>('TUSD BE'!$L$17+'TUSD BF'!$L$17+'TUSD CVA'!$L$17)*1</f>
        <v>0</v>
      </c>
      <c r="M17" s="12">
        <f>('TUSD BE'!$M$17+'TUSD BF'!$M$17+'TUSD CVA'!$M$17)*1</f>
        <v>0.59205655079037456</v>
      </c>
      <c r="N17" s="12">
        <f ca="1">('TUSD BE'!$N$17+'TUSD BF'!$N$17+'TUSD CVA'!$N$17)*1</f>
        <v>0</v>
      </c>
      <c r="O17" s="12">
        <f>('TUSD BE'!$O$17+'TUSD BF'!$O$17+'TUSD CVA'!$O$17)*1</f>
        <v>0</v>
      </c>
      <c r="P17" s="12">
        <f>('TUSD BE'!$P$17+'TUSD BF'!$P$17+'TUSD CVA'!$P$17)*1</f>
        <v>0</v>
      </c>
      <c r="Q17" s="12">
        <f>('TUSD BE'!$Q$17+'TUSD BF'!$Q$17+'TUSD CVA'!$Q$17)*1</f>
        <v>88.751501607850059</v>
      </c>
      <c r="R17" s="12">
        <f>('TUSD BE'!$R$17+'TUSD BF'!$R$17+'TUSD CVA'!$R$17)*1</f>
        <v>14.030696755938665</v>
      </c>
      <c r="S17" s="12">
        <f>('TUSD BE'!$S$17+'TUSD BF'!$S$17+'TUSD CVA'!$S$17)*1</f>
        <v>0</v>
      </c>
      <c r="T17" s="12">
        <f>('TUSD BE'!$U$17+'TUSD BF'!$U$17+'TUSD CVA'!$U$17)*1</f>
        <v>0</v>
      </c>
      <c r="U17" s="12">
        <f>('TUSD BE'!$V$17+'TUSD BF'!$V$17+'TUSD CVA'!$V$17)*1</f>
        <v>0</v>
      </c>
      <c r="V17" s="12">
        <f>('TUSD BE'!$W$17+'TUSD BF'!$W$17+'TUSD CVA'!$W$17)*1</f>
        <v>0</v>
      </c>
      <c r="W17" s="12">
        <f>('TUSD BE'!$X$17+'TUSD BF'!$X$17+'TUSD CVA'!$X$17)*1</f>
        <v>0</v>
      </c>
      <c r="X17" s="12">
        <f>('TUSD BE'!$Y$17+'TUSD BF'!$Y$17+'TUSD CVA'!$Y$17)*1</f>
        <v>102.29854904659113</v>
      </c>
      <c r="Y17" s="12">
        <f>('TUSD BE'!$Z$17+'TUSD BF'!$Z$17+'TUSD CVA'!$Z$17)*1</f>
        <v>0</v>
      </c>
      <c r="Z17" s="12">
        <f>('TUSD BE'!$AA$17+'TUSD BF'!$AA$17+'TUSD CVA'!$AA$17)*1</f>
        <v>0</v>
      </c>
      <c r="AA17" s="12">
        <f>('TUSD BE'!$AC$17+'TUSD BF'!$AC$17+'TUSD CVA'!$AC$17)*1</f>
        <v>355.8378274642622</v>
      </c>
      <c r="AB17" s="12">
        <f ca="1">('TUSD BE'!$AE$17+'TUSD BF'!$AE$17+'TUSD CVA'!$AE$17)*1</f>
        <v>-14.293012024856969</v>
      </c>
      <c r="AC17" s="12">
        <f ca="1">('TUSD BE'!$AF$17+'TUSD BF'!$AF$17+'TUSD CVA'!$AF$17)*1</f>
        <v>0</v>
      </c>
      <c r="AD17" s="12">
        <f>('TUSD BE'!$AH$17+'TUSD BF'!$AH$17+'TUSD CVA'!$AH$17)*1</f>
        <v>13.614220128314374</v>
      </c>
      <c r="AE17" s="12">
        <f>('TUSD BE'!$AI$17+'TUSD BF'!$AI$17+'TUSD CVA'!$AI$17)*1</f>
        <v>0</v>
      </c>
      <c r="AF17" s="12">
        <f ca="1">('TUSD BE'!$AJ$17+'TUSD BF'!$AJ$17+'TUSD CVA'!$AJ$17)*1</f>
        <v>0</v>
      </c>
      <c r="AG17" s="12">
        <f ca="1">('TUSD BE'!$AK$17+'TUSD BF'!$AK$17+'TUSD CVA'!$AK$17)*1</f>
        <v>0</v>
      </c>
      <c r="AI17" s="12">
        <v>0</v>
      </c>
      <c r="AJ17" s="12">
        <v>0.47260892517192399</v>
      </c>
      <c r="AK17" s="12">
        <v>0</v>
      </c>
      <c r="AL17" s="12">
        <v>0</v>
      </c>
      <c r="AM17" s="12">
        <v>0</v>
      </c>
      <c r="AN17" s="12">
        <v>55.656616620778699</v>
      </c>
      <c r="AO17" s="12">
        <v>8.7328579078868902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120.267052598201</v>
      </c>
      <c r="AV17" s="12">
        <v>0</v>
      </c>
      <c r="AW17" s="12">
        <v>0</v>
      </c>
      <c r="AX17" s="12">
        <v>300.68519817439102</v>
      </c>
      <c r="AY17" s="12">
        <v>0</v>
      </c>
      <c r="AZ17" s="12">
        <v>0</v>
      </c>
      <c r="BA17" s="12">
        <v>1.6427249439373299</v>
      </c>
      <c r="BB17" s="12">
        <v>0</v>
      </c>
      <c r="BC17" s="12">
        <v>0</v>
      </c>
      <c r="BD17" s="12">
        <v>0</v>
      </c>
    </row>
    <row r="18" spans="1:56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>
        <f>('TUSD BE'!$L$18+'TUSD BF'!$L$18+'TUSD CVA'!$L$18)*1</f>
        <v>0</v>
      </c>
      <c r="M18" s="12">
        <f>('TUSD BE'!$M$18+'TUSD BF'!$M$18+'TUSD CVA'!$M$18)*1</f>
        <v>0.59205655079037456</v>
      </c>
      <c r="N18" s="12">
        <f ca="1">('TUSD BE'!$N$18+'TUSD BF'!$N$18+'TUSD CVA'!$N$18)*1</f>
        <v>0</v>
      </c>
      <c r="O18" s="12">
        <f>('TUSD BE'!$O$18+'TUSD BF'!$O$18+'TUSD CVA'!$O$18)*1</f>
        <v>0</v>
      </c>
      <c r="P18" s="12">
        <f>('TUSD BE'!$P$18+'TUSD BF'!$P$18+'TUSD CVA'!$P$18)*1</f>
        <v>0</v>
      </c>
      <c r="Q18" s="12">
        <f>('TUSD BE'!$Q$18+'TUSD BF'!$Q$18+'TUSD CVA'!$Q$18)*1</f>
        <v>88.751501607850059</v>
      </c>
      <c r="R18" s="12">
        <f>('TUSD BE'!$R$18+'TUSD BF'!$R$18+'TUSD CVA'!$R$18)*1</f>
        <v>14.030696755938665</v>
      </c>
      <c r="S18" s="12">
        <f>('TUSD BE'!$S$18+'TUSD BF'!$S$18+'TUSD CVA'!$S$18)*1</f>
        <v>0</v>
      </c>
      <c r="T18" s="12">
        <f>('TUSD BE'!$U$18+'TUSD BF'!$U$18+'TUSD CVA'!$U$18)*1</f>
        <v>0</v>
      </c>
      <c r="U18" s="12">
        <f>('TUSD BE'!$V$18+'TUSD BF'!$V$18+'TUSD CVA'!$V$18)*1</f>
        <v>0</v>
      </c>
      <c r="V18" s="12">
        <f>('TUSD BE'!$W$18+'TUSD BF'!$W$18+'TUSD CVA'!$W$18)*1</f>
        <v>0</v>
      </c>
      <c r="W18" s="12">
        <f>('TUSD BE'!$X$18+'TUSD BF'!$X$18+'TUSD CVA'!$X$18)*1</f>
        <v>0</v>
      </c>
      <c r="X18" s="12">
        <f>('TUSD BE'!$Y$18+'TUSD BF'!$Y$18+'TUSD CVA'!$Y$18)*1</f>
        <v>61.391993124785444</v>
      </c>
      <c r="Y18" s="12">
        <f>('TUSD BE'!$Z$18+'TUSD BF'!$Z$18+'TUSD CVA'!$Z$18)*1</f>
        <v>0</v>
      </c>
      <c r="Z18" s="12">
        <f>('TUSD BE'!$AA$18+'TUSD BF'!$AA$18+'TUSD CVA'!$AA$18)*1</f>
        <v>0</v>
      </c>
      <c r="AA18" s="12">
        <f>('TUSD BE'!$AC$18+'TUSD BF'!$AC$18+'TUSD CVA'!$AC$18)*1</f>
        <v>213.50271886425736</v>
      </c>
      <c r="AB18" s="12">
        <f ca="1">('TUSD BE'!$AE$18+'TUSD BF'!$AE$18+'TUSD CVA'!$AE$18)*1</f>
        <v>-9.7534556603142537</v>
      </c>
      <c r="AC18" s="12">
        <f ca="1">('TUSD BE'!$AF$18+'TUSD BF'!$AF$18+'TUSD CVA'!$AF$18)*1</f>
        <v>0</v>
      </c>
      <c r="AD18" s="12">
        <f>('TUSD BE'!$AH$18+'TUSD BF'!$AH$18+'TUSD CVA'!$AH$18)*1</f>
        <v>13.614220128314374</v>
      </c>
      <c r="AE18" s="12">
        <f>('TUSD BE'!$AI$18+'TUSD BF'!$AI$18+'TUSD CVA'!$AI$18)*1</f>
        <v>0</v>
      </c>
      <c r="AF18" s="12">
        <f ca="1">('TUSD BE'!$AJ$18+'TUSD BF'!$AJ$18+'TUSD CVA'!$AJ$18)*1</f>
        <v>0</v>
      </c>
      <c r="AG18" s="12">
        <f ca="1">('TUSD BE'!$AK$18+'TUSD BF'!$AK$18+'TUSD CVA'!$AK$18)*1</f>
        <v>0</v>
      </c>
      <c r="AI18" s="12">
        <v>0</v>
      </c>
      <c r="AJ18" s="12">
        <v>0.47260892517192399</v>
      </c>
      <c r="AK18" s="12">
        <v>0</v>
      </c>
      <c r="AL18" s="12">
        <v>0</v>
      </c>
      <c r="AM18" s="12">
        <v>0</v>
      </c>
      <c r="AN18" s="12">
        <v>55.656616620778699</v>
      </c>
      <c r="AO18" s="12">
        <v>8.7328579078868902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72.164747320726207</v>
      </c>
      <c r="AV18" s="12">
        <v>0</v>
      </c>
      <c r="AW18" s="12">
        <v>0</v>
      </c>
      <c r="AX18" s="12">
        <v>180.411193811956</v>
      </c>
      <c r="AY18" s="12">
        <v>0</v>
      </c>
      <c r="AZ18" s="12">
        <v>0</v>
      </c>
      <c r="BA18" s="12">
        <v>1.6427249439373299</v>
      </c>
      <c r="BB18" s="12">
        <v>0</v>
      </c>
      <c r="BC18" s="12">
        <v>0</v>
      </c>
      <c r="BD18" s="12">
        <v>0</v>
      </c>
    </row>
    <row r="19" spans="1:56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>
        <f>('TUSD BE'!$L$19+'TUSD BF'!$L$19+'TUSD CVA'!$L$19)*1</f>
        <v>0</v>
      </c>
      <c r="M19" s="12">
        <f>('TUSD BE'!$M$19+'TUSD BF'!$M$19+'TUSD CVA'!$M$19)*1</f>
        <v>0.59205655079037456</v>
      </c>
      <c r="N19" s="12">
        <f ca="1">('TUSD BE'!$N$19+'TUSD BF'!$N$19+'TUSD CVA'!$N$19)*1</f>
        <v>0</v>
      </c>
      <c r="O19" s="12">
        <f>('TUSD BE'!$O$19+'TUSD BF'!$O$19+'TUSD CVA'!$O$19)*1</f>
        <v>0</v>
      </c>
      <c r="P19" s="12">
        <f>('TUSD BE'!$P$19+'TUSD BF'!$P$19+'TUSD CVA'!$P$19)*1</f>
        <v>0</v>
      </c>
      <c r="Q19" s="12">
        <f>('TUSD BE'!$Q$19+'TUSD BF'!$Q$19+'TUSD CVA'!$Q$19)*1</f>
        <v>88.751501607850059</v>
      </c>
      <c r="R19" s="12">
        <f>('TUSD BE'!$R$19+'TUSD BF'!$R$19+'TUSD CVA'!$R$19)*1</f>
        <v>14.030696755938665</v>
      </c>
      <c r="S19" s="12">
        <f>('TUSD BE'!$S$19+'TUSD BF'!$S$19+'TUSD CVA'!$S$19)*1</f>
        <v>0</v>
      </c>
      <c r="T19" s="12">
        <f>('TUSD BE'!$U$19+'TUSD BF'!$U$19+'TUSD CVA'!$U$19)*1</f>
        <v>0</v>
      </c>
      <c r="U19" s="12">
        <f>('TUSD BE'!$V$19+'TUSD BF'!$V$19+'TUSD CVA'!$V$19)*1</f>
        <v>0</v>
      </c>
      <c r="V19" s="12">
        <f>('TUSD BE'!$W$19+'TUSD BF'!$W$19+'TUSD CVA'!$W$19)*1</f>
        <v>0</v>
      </c>
      <c r="W19" s="12">
        <f>('TUSD BE'!$X$19+'TUSD BF'!$X$19+'TUSD CVA'!$X$19)*1</f>
        <v>0</v>
      </c>
      <c r="X19" s="12">
        <f>('TUSD BE'!$Y$19+'TUSD BF'!$Y$19+'TUSD CVA'!$Y$19)*1</f>
        <v>20.469357581941296</v>
      </c>
      <c r="Y19" s="12">
        <f>('TUSD BE'!$Z$19+'TUSD BF'!$Z$19+'TUSD CVA'!$Z$19)*1</f>
        <v>0</v>
      </c>
      <c r="Z19" s="12">
        <f>('TUSD BE'!$AA$19+'TUSD BF'!$AA$19+'TUSD CVA'!$AA$19)*1</f>
        <v>0</v>
      </c>
      <c r="AA19" s="12">
        <f>('TUSD BE'!$AC$19+'TUSD BF'!$AC$19+'TUSD CVA'!$AC$19)*1</f>
        <v>71.167498335752256</v>
      </c>
      <c r="AB19" s="12">
        <f ca="1">('TUSD BE'!$AE$19+'TUSD BF'!$AE$19+'TUSD CVA'!$AE$19)*1</f>
        <v>-5.2135070790052715</v>
      </c>
      <c r="AC19" s="12">
        <f ca="1">('TUSD BE'!$AF$19+'TUSD BF'!$AF$19+'TUSD CVA'!$AF$19)*1</f>
        <v>0</v>
      </c>
      <c r="AD19" s="12">
        <f>('TUSD BE'!$AH$19+'TUSD BF'!$AH$19+'TUSD CVA'!$AH$19)*1</f>
        <v>13.614220128314374</v>
      </c>
      <c r="AE19" s="12">
        <f>('TUSD BE'!$AI$19+'TUSD BF'!$AI$19+'TUSD CVA'!$AI$19)*1</f>
        <v>0</v>
      </c>
      <c r="AF19" s="12">
        <f ca="1">('TUSD BE'!$AJ$19+'TUSD BF'!$AJ$19+'TUSD CVA'!$AJ$19)*1</f>
        <v>0</v>
      </c>
      <c r="AG19" s="12">
        <f ca="1">('TUSD BE'!$AK$19+'TUSD BF'!$AK$19+'TUSD CVA'!$AK$19)*1</f>
        <v>0</v>
      </c>
      <c r="AI19" s="12">
        <v>0</v>
      </c>
      <c r="AJ19" s="12">
        <v>0.47260892517192399</v>
      </c>
      <c r="AK19" s="12">
        <v>0</v>
      </c>
      <c r="AL19" s="12">
        <v>0</v>
      </c>
      <c r="AM19" s="12">
        <v>0</v>
      </c>
      <c r="AN19" s="12">
        <v>55.656616620778699</v>
      </c>
      <c r="AO19" s="12">
        <v>8.7328579078868902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24.062236781351199</v>
      </c>
      <c r="AV19" s="12">
        <v>0</v>
      </c>
      <c r="AW19" s="12">
        <v>0</v>
      </c>
      <c r="AX19" s="12">
        <v>60.137002181217397</v>
      </c>
      <c r="AY19" s="12">
        <v>0</v>
      </c>
      <c r="AZ19" s="12">
        <v>0</v>
      </c>
      <c r="BA19" s="12">
        <v>1.6427249439373299</v>
      </c>
      <c r="BB19" s="12">
        <v>0</v>
      </c>
      <c r="BC19" s="12">
        <v>0</v>
      </c>
      <c r="BD19" s="12">
        <v>0</v>
      </c>
    </row>
    <row r="20" spans="1:56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>
        <f>('TUSD BE'!$L$20+'TUSD BF'!$L$20+'TUSD CVA'!$L$20)*1</f>
        <v>0</v>
      </c>
      <c r="M20" s="12">
        <f>('TUSD BE'!$M$20+'TUSD BF'!$M$20+'TUSD CVA'!$M$20)*1</f>
        <v>0.59205655079037456</v>
      </c>
      <c r="N20" s="12">
        <f ca="1">('TUSD BE'!$N$20+'TUSD BF'!$N$20+'TUSD CVA'!$N$20)*1</f>
        <v>0</v>
      </c>
      <c r="O20" s="12">
        <f>('TUSD BE'!$O$20+'TUSD BF'!$O$20+'TUSD CVA'!$O$20)*1</f>
        <v>0</v>
      </c>
      <c r="P20" s="12">
        <f>('TUSD BE'!$P$20+'TUSD BF'!$P$20+'TUSD CVA'!$P$20)*1</f>
        <v>0</v>
      </c>
      <c r="Q20" s="12">
        <f>('TUSD BE'!$Q$20+'TUSD BF'!$Q$20+'TUSD CVA'!$Q$20)*1</f>
        <v>88.751501607850059</v>
      </c>
      <c r="R20" s="12">
        <f>('TUSD BE'!$R$20+'TUSD BF'!$R$20+'TUSD CVA'!$R$20)*1</f>
        <v>14.030696755938665</v>
      </c>
      <c r="S20" s="12">
        <f>('TUSD BE'!$S$20+'TUSD BF'!$S$20+'TUSD CVA'!$S$20)*1</f>
        <v>0</v>
      </c>
      <c r="T20" s="12">
        <f>('TUSD BE'!$U$20+'TUSD BF'!$U$20+'TUSD CVA'!$U$20)*1</f>
        <v>0</v>
      </c>
      <c r="U20" s="12">
        <f>('TUSD BE'!$V$20+'TUSD BF'!$V$20+'TUSD CVA'!$V$20)*1</f>
        <v>0</v>
      </c>
      <c r="V20" s="12">
        <f>('TUSD BE'!$W$20+'TUSD BF'!$W$20+'TUSD CVA'!$W$20)*1</f>
        <v>0</v>
      </c>
      <c r="W20" s="12">
        <f>('TUSD BE'!$X$20+'TUSD BF'!$X$20+'TUSD CVA'!$X$20)*1</f>
        <v>0</v>
      </c>
      <c r="X20" s="12">
        <f>('TUSD BE'!$Y$20+'TUSD BF'!$Y$20+'TUSD CVA'!$Y$20)*1</f>
        <v>37.899666787616361</v>
      </c>
      <c r="Y20" s="12">
        <f>('TUSD BE'!$Z$20+'TUSD BF'!$Z$20+'TUSD CVA'!$Z$20)*1</f>
        <v>0</v>
      </c>
      <c r="Z20" s="12">
        <f>('TUSD BE'!$AA$20+'TUSD BF'!$AA$20+'TUSD CVA'!$AA$20)*1</f>
        <v>0</v>
      </c>
      <c r="AA20" s="12">
        <f>('TUSD BE'!$AC$20+'TUSD BF'!$AC$20+'TUSD CVA'!$AC$20)*1</f>
        <v>131.79177965872671</v>
      </c>
      <c r="AB20" s="12">
        <f ca="1">('TUSD BE'!$AE$20+'TUSD BF'!$AE$20+'TUSD CVA'!$AE$20)*1</f>
        <v>-7.1471966105497247</v>
      </c>
      <c r="AC20" s="12">
        <f ca="1">('TUSD BE'!$AF$20+'TUSD BF'!$AF$20+'TUSD CVA'!$AF$20)*1</f>
        <v>0</v>
      </c>
      <c r="AD20" s="12">
        <f>('TUSD BE'!$AH$20+'TUSD BF'!$AH$20+'TUSD CVA'!$AH$20)*1</f>
        <v>13.614220128314374</v>
      </c>
      <c r="AE20" s="12">
        <f>('TUSD BE'!$AI$20+'TUSD BF'!$AI$20+'TUSD CVA'!$AI$20)*1</f>
        <v>0</v>
      </c>
      <c r="AF20" s="12">
        <f ca="1">('TUSD BE'!$AJ$20+'TUSD BF'!$AJ$20+'TUSD CVA'!$AJ$20)*1</f>
        <v>0</v>
      </c>
      <c r="AG20" s="12">
        <f ca="1">('TUSD BE'!$AK$20+'TUSD BF'!$AK$20+'TUSD CVA'!$AK$20)*1</f>
        <v>0</v>
      </c>
      <c r="AI20" s="12">
        <v>0</v>
      </c>
      <c r="AJ20" s="12">
        <v>0.47260892517192399</v>
      </c>
      <c r="AK20" s="12">
        <v>0</v>
      </c>
      <c r="AL20" s="12">
        <v>0</v>
      </c>
      <c r="AM20" s="12">
        <v>0</v>
      </c>
      <c r="AN20" s="12">
        <v>55.656616620778699</v>
      </c>
      <c r="AO20" s="12">
        <v>8.7328579078868902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44.510529915839001</v>
      </c>
      <c r="AV20" s="12">
        <v>0</v>
      </c>
      <c r="AW20" s="12">
        <v>0</v>
      </c>
      <c r="AX20" s="12">
        <v>111.36490208446401</v>
      </c>
      <c r="AY20" s="12">
        <v>0</v>
      </c>
      <c r="AZ20" s="12">
        <v>0</v>
      </c>
      <c r="BA20" s="12">
        <v>1.6427249439373299</v>
      </c>
      <c r="BB20" s="12">
        <v>0</v>
      </c>
      <c r="BC20" s="12">
        <v>0</v>
      </c>
      <c r="BD20" s="12">
        <v>0</v>
      </c>
    </row>
    <row r="21" spans="1:56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>
        <f>('TUSD BE'!$L$21+'TUSD BF'!$L$21+'TUSD CVA'!$L$21)*(1 - 0.65)</f>
        <v>0</v>
      </c>
      <c r="M21" s="12">
        <f>('TUSD BE'!$M$21+'TUSD BF'!$M$21+'TUSD CVA'!$M$21)*(1 - 0.65)</f>
        <v>0.20721979277663108</v>
      </c>
      <c r="N21" s="12">
        <f ca="1">('TUSD BE'!$N$21+'TUSD BF'!$N$21+'TUSD CVA'!$N$21)*(1 - 0.65)</f>
        <v>0</v>
      </c>
      <c r="O21" s="12">
        <f>('TUSD BE'!$O$21+'TUSD BF'!$O$21+'TUSD CVA'!$O$21)*(1 - 0.65)</f>
        <v>0</v>
      </c>
      <c r="P21" s="12">
        <v>0</v>
      </c>
      <c r="Q21" s="12">
        <f>('TUSD BE'!$Q$21+'TUSD BF'!$Q$21+'TUSD CVA'!$Q$21)*(1 - 0.65)</f>
        <v>0</v>
      </c>
      <c r="R21" s="12">
        <v>0</v>
      </c>
      <c r="S21" s="12">
        <f>('TUSD BE'!$S$21+'TUSD BF'!$S$21+'TUSD CVA'!$S$21)*(1 - 0.65)</f>
        <v>0</v>
      </c>
      <c r="T21" s="12">
        <f>('TUSD BE'!$U$21+'TUSD BF'!$U$21+'TUSD CVA'!$U$21)*(1 - 0.65)</f>
        <v>0</v>
      </c>
      <c r="U21" s="12">
        <f>('TUSD BE'!$V$21+'TUSD BF'!$V$21+'TUSD CVA'!$V$21)*(1 - 0.65)</f>
        <v>0</v>
      </c>
      <c r="V21" s="12">
        <f>('TUSD BE'!$W$21+'TUSD BF'!$W$21+'TUSD CVA'!$W$21)*(1 - 0.65)</f>
        <v>0</v>
      </c>
      <c r="W21" s="12">
        <f>('TUSD BE'!$X$21+'TUSD BF'!$X$21+'TUSD CVA'!$X$21)*(1 - 0.65)</f>
        <v>0</v>
      </c>
      <c r="X21" s="12">
        <f>('TUSD BE'!$Y$21+'TUSD BF'!$Y$21+'TUSD CVA'!$Y$21)*(1 - 0.65)</f>
        <v>13.264883375665725</v>
      </c>
      <c r="Y21" s="12">
        <f>('TUSD BE'!$Z$21+'TUSD BF'!$Z$21+'TUSD CVA'!$Z$21)*(1 - 0.65)</f>
        <v>0</v>
      </c>
      <c r="Z21" s="12">
        <f>('TUSD BE'!$AA$21+'TUSD BF'!$AA$21+'TUSD CVA'!$AA$21)*(1 - 0.65)</f>
        <v>0</v>
      </c>
      <c r="AA21" s="12">
        <f>('TUSD BE'!$AC$21+'TUSD BF'!$AC$21+'TUSD CVA'!$AC$21)*(1 - 0.65)</f>
        <v>46.127122880554346</v>
      </c>
      <c r="AB21" s="12">
        <f ca="1">('TUSD BE'!$AE$21+'TUSD BF'!$AE$21+'TUSD CVA'!$AE$21)*(1 - 0.65)</f>
        <v>-1.5944232406201522</v>
      </c>
      <c r="AC21" s="12">
        <f ca="1">('TUSD BE'!$AF$21+'TUSD BF'!$AF$21+'TUSD CVA'!$AF$21)*(1 - 0.65)</f>
        <v>0</v>
      </c>
      <c r="AD21" s="12">
        <f>('TUSD BE'!$AH$21+'TUSD BF'!$AH$21+'TUSD CVA'!$AH$21)*(1 - 0.65)</f>
        <v>4.7649770449100304</v>
      </c>
      <c r="AE21" s="12">
        <f>('TUSD BE'!$AI$21+'TUSD BF'!$AI$21+'TUSD CVA'!$AI$21)*(1 - 0.65)</f>
        <v>0</v>
      </c>
      <c r="AF21" s="12">
        <f ca="1">('TUSD BE'!$AJ$21+'TUSD BF'!$AJ$21+'TUSD CVA'!$AJ$21)*(1 - 0.65)</f>
        <v>0</v>
      </c>
      <c r="AG21" s="12">
        <f ca="1">('TUSD BE'!$AK$21+'TUSD BF'!$AK$21+'TUSD CVA'!$AK$21)*(1 - 0.65)</f>
        <v>0</v>
      </c>
      <c r="AI21" s="12">
        <v>0</v>
      </c>
      <c r="AJ21" s="12">
        <v>0.16541312381017301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15.5786854705437</v>
      </c>
      <c r="AV21" s="12">
        <v>0</v>
      </c>
      <c r="AW21" s="12">
        <v>0</v>
      </c>
      <c r="AX21" s="12">
        <v>38.977715729562199</v>
      </c>
      <c r="AY21" s="12">
        <v>0</v>
      </c>
      <c r="AZ21" s="12">
        <v>0</v>
      </c>
      <c r="BA21" s="12">
        <v>0.57495373037806496</v>
      </c>
      <c r="BB21" s="12">
        <v>0</v>
      </c>
      <c r="BC21" s="12">
        <v>0</v>
      </c>
      <c r="BD21" s="12">
        <v>0</v>
      </c>
    </row>
    <row r="22" spans="1:56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>
        <f>('TUSD BE'!$L$22+'TUSD BF'!$L$22+'TUSD CVA'!$L$22)*(1 - 0.4)</f>
        <v>0</v>
      </c>
      <c r="M22" s="12">
        <f>('TUSD BE'!$M$22+'TUSD BF'!$M$22+'TUSD CVA'!$M$22)*(1 - 0.4)</f>
        <v>0.35523393047422475</v>
      </c>
      <c r="N22" s="12">
        <f ca="1">('TUSD BE'!$N$22+'TUSD BF'!$N$22+'TUSD CVA'!$N$22)*(1 - 0.4)</f>
        <v>0</v>
      </c>
      <c r="O22" s="12">
        <f>('TUSD BE'!$O$22+'TUSD BF'!$O$22+'TUSD CVA'!$O$22)*(1 - 0.4)</f>
        <v>0</v>
      </c>
      <c r="P22" s="12">
        <v>0</v>
      </c>
      <c r="Q22" s="12">
        <f>('TUSD BE'!$Q$22+'TUSD BF'!$Q$22+'TUSD CVA'!$Q$22)*(1 - 0.4)</f>
        <v>0</v>
      </c>
      <c r="R22" s="12">
        <v>0</v>
      </c>
      <c r="S22" s="12">
        <f>('TUSD BE'!$S$22+'TUSD BF'!$S$22+'TUSD CVA'!$S$22)*(1 - 0.4)</f>
        <v>0</v>
      </c>
      <c r="T22" s="12">
        <f>('TUSD BE'!$U$22+'TUSD BF'!$U$22+'TUSD CVA'!$U$22)*(1 - 0.4)</f>
        <v>0</v>
      </c>
      <c r="U22" s="12">
        <f>('TUSD BE'!$V$22+'TUSD BF'!$V$22+'TUSD CVA'!$V$22)*(1 - 0.4)</f>
        <v>0</v>
      </c>
      <c r="V22" s="12">
        <f>('TUSD BE'!$W$22+'TUSD BF'!$W$22+'TUSD CVA'!$W$22)*(1 - 0.4)</f>
        <v>0</v>
      </c>
      <c r="W22" s="12">
        <f>('TUSD BE'!$X$22+'TUSD BF'!$X$22+'TUSD CVA'!$X$22)*(1 - 0.4)</f>
        <v>0</v>
      </c>
      <c r="X22" s="12">
        <f>('TUSD BE'!$Y$22+'TUSD BF'!$Y$22+'TUSD CVA'!$Y$22)*(1 - 0.4)</f>
        <v>22.739800072569818</v>
      </c>
      <c r="Y22" s="12">
        <f>('TUSD BE'!$Z$22+'TUSD BF'!$Z$22+'TUSD CVA'!$Z$22)*(1 - 0.4)</f>
        <v>0</v>
      </c>
      <c r="Z22" s="12">
        <f>('TUSD BE'!$AA$22+'TUSD BF'!$AA$22+'TUSD CVA'!$AA$22)*(1 - 0.4)</f>
        <v>0</v>
      </c>
      <c r="AA22" s="12">
        <f>('TUSD BE'!$AC$22+'TUSD BF'!$AC$22+'TUSD CVA'!$AC$22)*(1 - 0.4)</f>
        <v>79.075067795236023</v>
      </c>
      <c r="AB22" s="12">
        <f ca="1">('TUSD BE'!$AE$22+'TUSD BF'!$AE$22+'TUSD CVA'!$AE$22)*(1 - 0.4)</f>
        <v>-2.733296983920261</v>
      </c>
      <c r="AC22" s="12">
        <f ca="1">('TUSD BE'!$AF$22+'TUSD BF'!$AF$22+'TUSD CVA'!$AF$22)*(1 - 0.4)</f>
        <v>0</v>
      </c>
      <c r="AD22" s="12">
        <f>('TUSD BE'!$AH$22+'TUSD BF'!$AH$22+'TUSD CVA'!$AH$22)*(1 - 0.4)</f>
        <v>8.1685320769886243</v>
      </c>
      <c r="AE22" s="12">
        <f>('TUSD BE'!$AI$22+'TUSD BF'!$AI$22+'TUSD CVA'!$AI$22)*(1 - 0.4)</f>
        <v>0</v>
      </c>
      <c r="AF22" s="12">
        <f ca="1">('TUSD BE'!$AJ$22+'TUSD BF'!$AJ$22+'TUSD CVA'!$AJ$22)*(1 - 0.4)</f>
        <v>0</v>
      </c>
      <c r="AG22" s="12">
        <f ca="1">('TUSD BE'!$AK$22+'TUSD BF'!$AK$22+'TUSD CVA'!$AK$22)*(1 - 0.4)</f>
        <v>0</v>
      </c>
      <c r="AI22" s="12">
        <v>0</v>
      </c>
      <c r="AJ22" s="12">
        <v>0.283565355103154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26.706317949503401</v>
      </c>
      <c r="AV22" s="12">
        <v>0</v>
      </c>
      <c r="AW22" s="12">
        <v>0</v>
      </c>
      <c r="AX22" s="12">
        <v>66.818941250678094</v>
      </c>
      <c r="AY22" s="12">
        <v>0</v>
      </c>
      <c r="AZ22" s="12">
        <v>0</v>
      </c>
      <c r="BA22" s="12">
        <v>0.985634966362398</v>
      </c>
      <c r="BB22" s="12">
        <v>0</v>
      </c>
      <c r="BC22" s="12">
        <v>0</v>
      </c>
      <c r="BD22" s="12">
        <v>0</v>
      </c>
    </row>
    <row r="23" spans="1:56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>
        <f>('TUSD BE'!$L$23+'TUSD BF'!$L$23+'TUSD CVA'!$L$23)*(1 - 0.1)</f>
        <v>0</v>
      </c>
      <c r="M23" s="12">
        <f>('TUSD BE'!$M$23+'TUSD BF'!$M$23+'TUSD CVA'!$M$23)*(1 - 0.1)</f>
        <v>0.53285089571133715</v>
      </c>
      <c r="N23" s="12">
        <f ca="1">('TUSD BE'!$N$23+'TUSD BF'!$N$23+'TUSD CVA'!$N$23)*(1 - 0.1)</f>
        <v>0</v>
      </c>
      <c r="O23" s="12">
        <f>('TUSD BE'!$O$23+'TUSD BF'!$O$23+'TUSD CVA'!$O$23)*(1 - 0.1)</f>
        <v>0</v>
      </c>
      <c r="P23" s="12">
        <v>0</v>
      </c>
      <c r="Q23" s="12">
        <f>('TUSD BE'!$Q$23+'TUSD BF'!$Q$23+'TUSD CVA'!$Q$23)*(1 - 0.1)</f>
        <v>0</v>
      </c>
      <c r="R23" s="12">
        <v>0</v>
      </c>
      <c r="S23" s="12">
        <f>('TUSD BE'!$S$23+'TUSD BF'!$S$23+'TUSD CVA'!$S$23)*(1 - 0.1)</f>
        <v>0</v>
      </c>
      <c r="T23" s="12">
        <f>('TUSD BE'!$U$23+'TUSD BF'!$U$23+'TUSD CVA'!$U$23)*(1 - 0.1)</f>
        <v>0</v>
      </c>
      <c r="U23" s="12">
        <f>('TUSD BE'!$V$23+'TUSD BF'!$V$23+'TUSD CVA'!$V$23)*(1 - 0.1)</f>
        <v>0</v>
      </c>
      <c r="V23" s="12">
        <f>('TUSD BE'!$W$23+'TUSD BF'!$W$23+'TUSD CVA'!$W$23)*(1 - 0.1)</f>
        <v>0</v>
      </c>
      <c r="W23" s="12">
        <f>('TUSD BE'!$X$23+'TUSD BF'!$X$23+'TUSD CVA'!$X$23)*(1 - 0.1)</f>
        <v>0</v>
      </c>
      <c r="X23" s="12">
        <f>('TUSD BE'!$Y$23+'TUSD BF'!$Y$23+'TUSD CVA'!$Y$23)*(1 - 0.1)</f>
        <v>34.109700108854724</v>
      </c>
      <c r="Y23" s="12">
        <f>('TUSD BE'!$Z$23+'TUSD BF'!$Z$23+'TUSD CVA'!$Z$23)*(1 - 0.1)</f>
        <v>0</v>
      </c>
      <c r="Z23" s="12">
        <f>('TUSD BE'!$AA$23+'TUSD BF'!$AA$23+'TUSD CVA'!$AA$23)*(1 - 0.1)</f>
        <v>0</v>
      </c>
      <c r="AA23" s="12">
        <f>('TUSD BE'!$AC$23+'TUSD BF'!$AC$23+'TUSD CVA'!$AC$23)*(1 - 0.1)</f>
        <v>118.61260169285404</v>
      </c>
      <c r="AB23" s="12">
        <f ca="1">('TUSD BE'!$AE$23+'TUSD BF'!$AE$23+'TUSD CVA'!$AE$23)*(1 - 0.1)</f>
        <v>-4.0999454758803919</v>
      </c>
      <c r="AC23" s="12">
        <f ca="1">('TUSD BE'!$AF$23+'TUSD BF'!$AF$23+'TUSD CVA'!$AF$23)*(1 - 0.1)</f>
        <v>0</v>
      </c>
      <c r="AD23" s="12">
        <f>('TUSD BE'!$AH$23+'TUSD BF'!$AH$23+'TUSD CVA'!$AH$23)*(1 - 0.1)</f>
        <v>12.252798115482937</v>
      </c>
      <c r="AE23" s="12">
        <f>('TUSD BE'!$AI$23+'TUSD BF'!$AI$23+'TUSD CVA'!$AI$23)*(1 - 0.1)</f>
        <v>0</v>
      </c>
      <c r="AF23" s="12">
        <f ca="1">('TUSD BE'!$AJ$23+'TUSD BF'!$AJ$23+'TUSD CVA'!$AJ$23)*(1 - 0.1)</f>
        <v>0</v>
      </c>
      <c r="AG23" s="12">
        <f ca="1">('TUSD BE'!$AK$23+'TUSD BF'!$AK$23+'TUSD CVA'!$AK$23)*(1 - 0.1)</f>
        <v>0</v>
      </c>
      <c r="AI23" s="12">
        <v>0</v>
      </c>
      <c r="AJ23" s="12">
        <v>0.42534803265473098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40.059476924255101</v>
      </c>
      <c r="AV23" s="12">
        <v>0</v>
      </c>
      <c r="AW23" s="12">
        <v>0</v>
      </c>
      <c r="AX23" s="12">
        <v>100.22841187601701</v>
      </c>
      <c r="AY23" s="12">
        <v>0</v>
      </c>
      <c r="AZ23" s="12">
        <v>0</v>
      </c>
      <c r="BA23" s="12">
        <v>1.4784524495436</v>
      </c>
      <c r="BB23" s="12">
        <v>0</v>
      </c>
      <c r="BC23" s="12">
        <v>0</v>
      </c>
      <c r="BD23" s="12">
        <v>0</v>
      </c>
    </row>
    <row r="24" spans="1:56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>
        <f>('TUSD BE'!$L$24+'TUSD BF'!$L$24+'TUSD CVA'!$L$24)*1</f>
        <v>0</v>
      </c>
      <c r="M24" s="12">
        <f>('TUSD BE'!$M$24+'TUSD BF'!$M$24+'TUSD CVA'!$M$24)*1</f>
        <v>0.59205655079037456</v>
      </c>
      <c r="N24" s="12">
        <f ca="1">('TUSD BE'!$N$24+'TUSD BF'!$N$24+'TUSD CVA'!$N$24)*1</f>
        <v>0</v>
      </c>
      <c r="O24" s="12">
        <f>('TUSD BE'!$O$24+'TUSD BF'!$O$24+'TUSD CVA'!$O$24)*1</f>
        <v>0</v>
      </c>
      <c r="P24" s="12">
        <v>0</v>
      </c>
      <c r="Q24" s="12">
        <f>('TUSD BE'!$Q$24+'TUSD BF'!$Q$24+'TUSD CVA'!$Q$24)*1</f>
        <v>0</v>
      </c>
      <c r="R24" s="12">
        <v>0</v>
      </c>
      <c r="S24" s="12">
        <f>('TUSD BE'!$S$24+'TUSD BF'!$S$24+'TUSD CVA'!$S$24)*1</f>
        <v>0</v>
      </c>
      <c r="T24" s="12">
        <f>('TUSD BE'!$U$24+'TUSD BF'!$U$24+'TUSD CVA'!$U$24)*1</f>
        <v>0</v>
      </c>
      <c r="U24" s="12">
        <f>('TUSD BE'!$V$24+'TUSD BF'!$V$24+'TUSD CVA'!$V$24)*1</f>
        <v>0</v>
      </c>
      <c r="V24" s="12">
        <f>('TUSD BE'!$W$24+'TUSD BF'!$W$24+'TUSD CVA'!$W$24)*1</f>
        <v>0</v>
      </c>
      <c r="W24" s="12">
        <f>('TUSD BE'!$X$24+'TUSD BF'!$X$24+'TUSD CVA'!$X$24)*1</f>
        <v>0</v>
      </c>
      <c r="X24" s="12">
        <f>('TUSD BE'!$Y$24+'TUSD BF'!$Y$24+'TUSD CVA'!$Y$24)*1</f>
        <v>37.899666787616361</v>
      </c>
      <c r="Y24" s="12">
        <f>('TUSD BE'!$Z$24+'TUSD BF'!$Z$24+'TUSD CVA'!$Z$24)*1</f>
        <v>0</v>
      </c>
      <c r="Z24" s="12">
        <f>('TUSD BE'!$AA$24+'TUSD BF'!$AA$24+'TUSD CVA'!$AA$24)*1</f>
        <v>0</v>
      </c>
      <c r="AA24" s="12">
        <f>('TUSD BE'!$AC$24+'TUSD BF'!$AC$24+'TUSD CVA'!$AC$24)*1</f>
        <v>131.79177965872671</v>
      </c>
      <c r="AB24" s="12">
        <f ca="1">('TUSD BE'!$AE$24+'TUSD BF'!$AE$24+'TUSD CVA'!$AE$24)*1</f>
        <v>-4.5554949732004353</v>
      </c>
      <c r="AC24" s="12">
        <f ca="1">('TUSD BE'!$AF$24+'TUSD BF'!$AF$24+'TUSD CVA'!$AF$24)*1</f>
        <v>0</v>
      </c>
      <c r="AD24" s="12">
        <f>('TUSD BE'!$AH$24+'TUSD BF'!$AH$24+'TUSD CVA'!$AH$24)*1</f>
        <v>13.614220128314374</v>
      </c>
      <c r="AE24" s="12">
        <f>('TUSD BE'!$AI$24+'TUSD BF'!$AI$24+'TUSD CVA'!$AI$24)*1</f>
        <v>0</v>
      </c>
      <c r="AF24" s="12">
        <f ca="1">('TUSD BE'!$AJ$24+'TUSD BF'!$AJ$24+'TUSD CVA'!$AJ$24)*1</f>
        <v>0</v>
      </c>
      <c r="AG24" s="12">
        <f ca="1">('TUSD BE'!$AK$24+'TUSD BF'!$AK$24+'TUSD CVA'!$AK$24)*1</f>
        <v>0</v>
      </c>
      <c r="AI24" s="12">
        <v>0</v>
      </c>
      <c r="AJ24" s="12">
        <v>0.47260892517192399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44.510529915839001</v>
      </c>
      <c r="AV24" s="12">
        <v>0</v>
      </c>
      <c r="AW24" s="12">
        <v>0</v>
      </c>
      <c r="AX24" s="12">
        <v>111.36490208446401</v>
      </c>
      <c r="AY24" s="12">
        <v>0</v>
      </c>
      <c r="AZ24" s="12">
        <v>0</v>
      </c>
      <c r="BA24" s="12">
        <v>1.6427249439373299</v>
      </c>
      <c r="BB24" s="12">
        <v>0</v>
      </c>
      <c r="BC24" s="12">
        <v>0</v>
      </c>
      <c r="BD24" s="12">
        <v>0</v>
      </c>
    </row>
    <row r="25" spans="1:56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>
        <f>('TUSD BE'!$L$25+'TUSD BF'!$L$25+'TUSD CVA'!$L$25)*1</f>
        <v>0</v>
      </c>
      <c r="M25" s="12">
        <f>('TUSD BE'!$M$25+'TUSD BF'!$M$25+'TUSD CVA'!$M$25)*1</f>
        <v>0.59205655079037456</v>
      </c>
      <c r="N25" s="12">
        <f ca="1">('TUSD BE'!$N$25+'TUSD BF'!$N$25+'TUSD CVA'!$N$25)*1</f>
        <v>0</v>
      </c>
      <c r="O25" s="12">
        <f>('TUSD BE'!$O$25+'TUSD BF'!$O$25+'TUSD CVA'!$O$25)*1</f>
        <v>0</v>
      </c>
      <c r="P25" s="12">
        <f>('TUSD BE'!$P$25+'TUSD BF'!$P$25+'TUSD CVA'!$P$25)*1</f>
        <v>0</v>
      </c>
      <c r="Q25" s="12">
        <f>('TUSD BE'!$Q$25+'TUSD BF'!$Q$25+'TUSD CVA'!$Q$25)*1</f>
        <v>88.751501607850059</v>
      </c>
      <c r="R25" s="12">
        <f>('TUSD BE'!$R$25+'TUSD BF'!$R$25+'TUSD CVA'!$R$25)*1</f>
        <v>14.030696755938665</v>
      </c>
      <c r="S25" s="12">
        <f>('TUSD BE'!$S$25+'TUSD BF'!$S$25+'TUSD CVA'!$S$25)*1</f>
        <v>0</v>
      </c>
      <c r="T25" s="12">
        <f>('TUSD BE'!$U$25+'TUSD BF'!$U$25+'TUSD CVA'!$U$25)*1</f>
        <v>0</v>
      </c>
      <c r="U25" s="12">
        <f>('TUSD BE'!$V$25+'TUSD BF'!$V$25+'TUSD CVA'!$V$25)*1</f>
        <v>0</v>
      </c>
      <c r="V25" s="12">
        <f>('TUSD BE'!$W$25+'TUSD BF'!$W$25+'TUSD CVA'!$W$25)*1</f>
        <v>0</v>
      </c>
      <c r="W25" s="12">
        <f>('TUSD BE'!$X$25+'TUSD BF'!$X$25+'TUSD CVA'!$X$25)*1</f>
        <v>0</v>
      </c>
      <c r="X25" s="12">
        <f>('TUSD BE'!$Y$25+'TUSD BF'!$Y$25+'TUSD CVA'!$Y$25)*1</f>
        <v>37.899666787616361</v>
      </c>
      <c r="Y25" s="12">
        <f>('TUSD BE'!$Z$25+'TUSD BF'!$Z$25+'TUSD CVA'!$Z$25)*1</f>
        <v>0</v>
      </c>
      <c r="Z25" s="12">
        <f>('TUSD BE'!$AA$25+'TUSD BF'!$AA$25+'TUSD CVA'!$AA$25)*1</f>
        <v>0</v>
      </c>
      <c r="AA25" s="12">
        <f>('TUSD BE'!$AC$25+'TUSD BF'!$AC$25+'TUSD CVA'!$AC$25)*1</f>
        <v>131.79177965872671</v>
      </c>
      <c r="AB25" s="12">
        <f ca="1">('TUSD BE'!$AE$25+'TUSD BF'!$AE$25+'TUSD CVA'!$AE$25)*1</f>
        <v>-7.1471966105497247</v>
      </c>
      <c r="AC25" s="12">
        <f ca="1">('TUSD BE'!$AF$25+'TUSD BF'!$AF$25+'TUSD CVA'!$AF$25)*1</f>
        <v>0</v>
      </c>
      <c r="AD25" s="12">
        <f>('TUSD BE'!$AH$25+'TUSD BF'!$AH$25+'TUSD CVA'!$AH$25)*1</f>
        <v>13.614220128314374</v>
      </c>
      <c r="AE25" s="12">
        <f>('TUSD BE'!$AI$25+'TUSD BF'!$AI$25+'TUSD CVA'!$AI$25)*1</f>
        <v>0</v>
      </c>
      <c r="AF25" s="12">
        <f ca="1">('TUSD BE'!$AJ$25+'TUSD BF'!$AJ$25+'TUSD CVA'!$AJ$25)*1</f>
        <v>0</v>
      </c>
      <c r="AG25" s="12">
        <f ca="1">('TUSD BE'!$AK$25+'TUSD BF'!$AK$25+'TUSD CVA'!$AK$25)*1</f>
        <v>0</v>
      </c>
      <c r="AI25" s="12">
        <v>0</v>
      </c>
      <c r="AJ25" s="12">
        <v>0.47260892517192399</v>
      </c>
      <c r="AK25" s="12">
        <v>0</v>
      </c>
      <c r="AL25" s="12">
        <v>0</v>
      </c>
      <c r="AM25" s="12">
        <v>0</v>
      </c>
      <c r="AN25" s="12">
        <v>55.656616620778699</v>
      </c>
      <c r="AO25" s="12">
        <v>8.7328579078868902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44.510529915839001</v>
      </c>
      <c r="AV25" s="12">
        <v>0</v>
      </c>
      <c r="AW25" s="12">
        <v>0</v>
      </c>
      <c r="AX25" s="12">
        <v>111.36490208446401</v>
      </c>
      <c r="AY25" s="12">
        <v>0</v>
      </c>
      <c r="AZ25" s="12">
        <v>0</v>
      </c>
      <c r="BA25" s="12">
        <v>1.6427249439373299</v>
      </c>
      <c r="BB25" s="12">
        <v>0</v>
      </c>
      <c r="BC25" s="12">
        <v>0</v>
      </c>
      <c r="BD25" s="12">
        <v>0</v>
      </c>
    </row>
    <row r="26" spans="1:56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>
        <f>('TUSD BE'!$L$26+'TUSD BF'!$L$26+'TUSD CVA'!$L$26)*(1 - 0.65)</f>
        <v>0</v>
      </c>
      <c r="M26" s="12">
        <f>('TUSD BE'!$M$26+'TUSD BF'!$M$26+'TUSD CVA'!$M$26)*(1 - 0.65)</f>
        <v>0.20721979277663108</v>
      </c>
      <c r="N26" s="12">
        <f ca="1">('TUSD BE'!$N$26+'TUSD BF'!$N$26+'TUSD CVA'!$N$26)*(1 - 0.65)</f>
        <v>0</v>
      </c>
      <c r="O26" s="12">
        <f>('TUSD BE'!$O$26+'TUSD BF'!$O$26+'TUSD CVA'!$O$26)*(1 - 0.65)</f>
        <v>0</v>
      </c>
      <c r="P26" s="12">
        <v>0</v>
      </c>
      <c r="Q26" s="12">
        <f>('TUSD BE'!$Q$26+'TUSD BF'!$Q$26+'TUSD CVA'!$Q$26)*(1 - 0.65)</f>
        <v>0</v>
      </c>
      <c r="R26" s="12">
        <v>0</v>
      </c>
      <c r="S26" s="12">
        <f>('TUSD BE'!$S$26+'TUSD BF'!$S$26+'TUSD CVA'!$S$26)*(1 - 0.65)</f>
        <v>0</v>
      </c>
      <c r="T26" s="12">
        <f>('TUSD BE'!$U$26+'TUSD BF'!$U$26+'TUSD CVA'!$U$26)*(1 - 0.65)</f>
        <v>0</v>
      </c>
      <c r="U26" s="12">
        <f>('TUSD BE'!$V$26+'TUSD BF'!$V$26+'TUSD CVA'!$V$26)*(1 - 0.65)</f>
        <v>0</v>
      </c>
      <c r="V26" s="12">
        <f>('TUSD BE'!$W$26+'TUSD BF'!$W$26+'TUSD CVA'!$W$26)*(1 - 0.65)</f>
        <v>0</v>
      </c>
      <c r="W26" s="12">
        <f>('TUSD BE'!$X$26+'TUSD BF'!$X$26+'TUSD CVA'!$X$26)*(1 - 0.65)</f>
        <v>0</v>
      </c>
      <c r="X26" s="12">
        <f>('TUSD BE'!$Y$26+'TUSD BF'!$Y$26+'TUSD CVA'!$Y$26)*(1 - 0.65)</f>
        <v>13.264883375665725</v>
      </c>
      <c r="Y26" s="12">
        <f>('TUSD BE'!$Z$26+'TUSD BF'!$Z$26+'TUSD CVA'!$Z$26)*(1 - 0.65)</f>
        <v>0</v>
      </c>
      <c r="Z26" s="12">
        <f>('TUSD BE'!$AA$26+'TUSD BF'!$AA$26+'TUSD CVA'!$AA$26)*(1 - 0.65)</f>
        <v>0</v>
      </c>
      <c r="AA26" s="12">
        <f>('TUSD BE'!$AC$26+'TUSD BF'!$AC$26+'TUSD CVA'!$AC$26)*(1 - 0.65)</f>
        <v>46.127122880554346</v>
      </c>
      <c r="AB26" s="12">
        <f ca="1">('TUSD BE'!$AE$26+'TUSD BF'!$AE$26+'TUSD CVA'!$AE$26)*(1 - 0.65)</f>
        <v>-1.5944232406201522</v>
      </c>
      <c r="AC26" s="12">
        <f ca="1">('TUSD BE'!$AF$26+'TUSD BF'!$AF$26+'TUSD CVA'!$AF$26)*(1 - 0.65)</f>
        <v>0</v>
      </c>
      <c r="AD26" s="12">
        <f>('TUSD BE'!$AH$26+'TUSD BF'!$AH$26+'TUSD CVA'!$AH$26)*(1 - 0.65)</f>
        <v>4.7649770449100304</v>
      </c>
      <c r="AE26" s="12">
        <f>('TUSD BE'!$AI$26+'TUSD BF'!$AI$26+'TUSD CVA'!$AI$26)*(1 - 0.65)</f>
        <v>0</v>
      </c>
      <c r="AF26" s="12">
        <f ca="1">('TUSD BE'!$AJ$26+'TUSD BF'!$AJ$26+'TUSD CVA'!$AJ$26)*(1 - 0.65)</f>
        <v>0</v>
      </c>
      <c r="AG26" s="12">
        <f ca="1">('TUSD BE'!$AK$26+'TUSD BF'!$AK$26+'TUSD CVA'!$AK$26)*(1 - 0.65)</f>
        <v>0</v>
      </c>
      <c r="AI26" s="12">
        <v>0</v>
      </c>
      <c r="AJ26" s="12">
        <v>0.16541312381017301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15.5786854705437</v>
      </c>
      <c r="AV26" s="12">
        <v>0</v>
      </c>
      <c r="AW26" s="12">
        <v>0</v>
      </c>
      <c r="AX26" s="12">
        <v>38.977715729562199</v>
      </c>
      <c r="AY26" s="12">
        <v>0</v>
      </c>
      <c r="AZ26" s="12">
        <v>0</v>
      </c>
      <c r="BA26" s="12">
        <v>0.57495373037806496</v>
      </c>
      <c r="BB26" s="12">
        <v>0</v>
      </c>
      <c r="BC26" s="12">
        <v>0</v>
      </c>
      <c r="BD26" s="12">
        <v>0</v>
      </c>
    </row>
    <row r="27" spans="1:56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>
        <f>('TUSD BE'!$L$27+'TUSD BF'!$L$27+'TUSD CVA'!$L$27)*(1 - 0.4)</f>
        <v>0</v>
      </c>
      <c r="M27" s="12">
        <f>('TUSD BE'!$M$27+'TUSD BF'!$M$27+'TUSD CVA'!$M$27)*(1 - 0.4)</f>
        <v>0.35523393047422475</v>
      </c>
      <c r="N27" s="12">
        <f ca="1">('TUSD BE'!$N$27+'TUSD BF'!$N$27+'TUSD CVA'!$N$27)*(1 - 0.4)</f>
        <v>0</v>
      </c>
      <c r="O27" s="12">
        <f>('TUSD BE'!$O$27+'TUSD BF'!$O$27+'TUSD CVA'!$O$27)*(1 - 0.4)</f>
        <v>0</v>
      </c>
      <c r="P27" s="12">
        <v>0</v>
      </c>
      <c r="Q27" s="12">
        <f>('TUSD BE'!$Q$27+'TUSD BF'!$Q$27+'TUSD CVA'!$Q$27)*(1 - 0.4)</f>
        <v>0</v>
      </c>
      <c r="R27" s="12">
        <v>0</v>
      </c>
      <c r="S27" s="12">
        <f>('TUSD BE'!$S$27+'TUSD BF'!$S$27+'TUSD CVA'!$S$27)*(1 - 0.4)</f>
        <v>0</v>
      </c>
      <c r="T27" s="12">
        <f>('TUSD BE'!$U$27+'TUSD BF'!$U$27+'TUSD CVA'!$U$27)*(1 - 0.4)</f>
        <v>0</v>
      </c>
      <c r="U27" s="12">
        <f>('TUSD BE'!$V$27+'TUSD BF'!$V$27+'TUSD CVA'!$V$27)*(1 - 0.4)</f>
        <v>0</v>
      </c>
      <c r="V27" s="12">
        <f>('TUSD BE'!$W$27+'TUSD BF'!$W$27+'TUSD CVA'!$W$27)*(1 - 0.4)</f>
        <v>0</v>
      </c>
      <c r="W27" s="12">
        <f>('TUSD BE'!$X$27+'TUSD BF'!$X$27+'TUSD CVA'!$X$27)*(1 - 0.4)</f>
        <v>0</v>
      </c>
      <c r="X27" s="12">
        <f>('TUSD BE'!$Y$27+'TUSD BF'!$Y$27+'TUSD CVA'!$Y$27)*(1 - 0.4)</f>
        <v>22.739800072569818</v>
      </c>
      <c r="Y27" s="12">
        <f>('TUSD BE'!$Z$27+'TUSD BF'!$Z$27+'TUSD CVA'!$Z$27)*(1 - 0.4)</f>
        <v>0</v>
      </c>
      <c r="Z27" s="12">
        <f>('TUSD BE'!$AA$27+'TUSD BF'!$AA$27+'TUSD CVA'!$AA$27)*(1 - 0.4)</f>
        <v>0</v>
      </c>
      <c r="AA27" s="12">
        <f>('TUSD BE'!$AC$27+'TUSD BF'!$AC$27+'TUSD CVA'!$AC$27)*(1 - 0.4)</f>
        <v>79.075067795236023</v>
      </c>
      <c r="AB27" s="12">
        <f ca="1">('TUSD BE'!$AE$27+'TUSD BF'!$AE$27+'TUSD CVA'!$AE$27)*(1 - 0.4)</f>
        <v>-2.733296983920261</v>
      </c>
      <c r="AC27" s="12">
        <f ca="1">('TUSD BE'!$AF$27+'TUSD BF'!$AF$27+'TUSD CVA'!$AF$27)*(1 - 0.4)</f>
        <v>0</v>
      </c>
      <c r="AD27" s="12">
        <f>('TUSD BE'!$AH$27+'TUSD BF'!$AH$27+'TUSD CVA'!$AH$27)*(1 - 0.4)</f>
        <v>8.1685320769886243</v>
      </c>
      <c r="AE27" s="12">
        <f>('TUSD BE'!$AI$27+'TUSD BF'!$AI$27+'TUSD CVA'!$AI$27)*(1 - 0.4)</f>
        <v>0</v>
      </c>
      <c r="AF27" s="12">
        <f ca="1">('TUSD BE'!$AJ$27+'TUSD BF'!$AJ$27+'TUSD CVA'!$AJ$27)*(1 - 0.4)</f>
        <v>0</v>
      </c>
      <c r="AG27" s="12">
        <f ca="1">('TUSD BE'!$AK$27+'TUSD BF'!$AK$27+'TUSD CVA'!$AK$27)*(1 - 0.4)</f>
        <v>0</v>
      </c>
      <c r="AI27" s="12">
        <v>0</v>
      </c>
      <c r="AJ27" s="12">
        <v>0.283565355103154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26.706317949503401</v>
      </c>
      <c r="AV27" s="12">
        <v>0</v>
      </c>
      <c r="AW27" s="12">
        <v>0</v>
      </c>
      <c r="AX27" s="12">
        <v>66.818941250678094</v>
      </c>
      <c r="AY27" s="12">
        <v>0</v>
      </c>
      <c r="AZ27" s="12">
        <v>0</v>
      </c>
      <c r="BA27" s="12">
        <v>0.985634966362398</v>
      </c>
      <c r="BB27" s="12">
        <v>0</v>
      </c>
      <c r="BC27" s="12">
        <v>0</v>
      </c>
      <c r="BD27" s="12">
        <v>0</v>
      </c>
    </row>
    <row r="28" spans="1:56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>
        <f>('TUSD BE'!$L$28+'TUSD BF'!$L$28+'TUSD CVA'!$L$28)*(1 - 0.1)</f>
        <v>0</v>
      </c>
      <c r="M28" s="12">
        <f>('TUSD BE'!$M$28+'TUSD BF'!$M$28+'TUSD CVA'!$M$28)*(1 - 0.1)</f>
        <v>0.53285089571133715</v>
      </c>
      <c r="N28" s="12">
        <f ca="1">('TUSD BE'!$N$28+'TUSD BF'!$N$28+'TUSD CVA'!$N$28)*(1 - 0.1)</f>
        <v>0</v>
      </c>
      <c r="O28" s="12">
        <f>('TUSD BE'!$O$28+'TUSD BF'!$O$28+'TUSD CVA'!$O$28)*(1 - 0.1)</f>
        <v>0</v>
      </c>
      <c r="P28" s="12">
        <v>0</v>
      </c>
      <c r="Q28" s="12">
        <f>('TUSD BE'!$Q$28+'TUSD BF'!$Q$28+'TUSD CVA'!$Q$28)*(1 - 0.1)</f>
        <v>0</v>
      </c>
      <c r="R28" s="12">
        <v>0</v>
      </c>
      <c r="S28" s="12">
        <f>('TUSD BE'!$S$28+'TUSD BF'!$S$28+'TUSD CVA'!$S$28)*(1 - 0.1)</f>
        <v>0</v>
      </c>
      <c r="T28" s="12">
        <f>('TUSD BE'!$U$28+'TUSD BF'!$U$28+'TUSD CVA'!$U$28)*(1 - 0.1)</f>
        <v>0</v>
      </c>
      <c r="U28" s="12">
        <f>('TUSD BE'!$V$28+'TUSD BF'!$V$28+'TUSD CVA'!$V$28)*(1 - 0.1)</f>
        <v>0</v>
      </c>
      <c r="V28" s="12">
        <f>('TUSD BE'!$W$28+'TUSD BF'!$W$28+'TUSD CVA'!$W$28)*(1 - 0.1)</f>
        <v>0</v>
      </c>
      <c r="W28" s="12">
        <f>('TUSD BE'!$X$28+'TUSD BF'!$X$28+'TUSD CVA'!$X$28)*(1 - 0.1)</f>
        <v>0</v>
      </c>
      <c r="X28" s="12">
        <f>('TUSD BE'!$Y$28+'TUSD BF'!$Y$28+'TUSD CVA'!$Y$28)*(1 - 0.1)</f>
        <v>34.109700108854724</v>
      </c>
      <c r="Y28" s="12">
        <f>('TUSD BE'!$Z$28+'TUSD BF'!$Z$28+'TUSD CVA'!$Z$28)*(1 - 0.1)</f>
        <v>0</v>
      </c>
      <c r="Z28" s="12">
        <f>('TUSD BE'!$AA$28+'TUSD BF'!$AA$28+'TUSD CVA'!$AA$28)*(1 - 0.1)</f>
        <v>0</v>
      </c>
      <c r="AA28" s="12">
        <f>('TUSD BE'!$AC$28+'TUSD BF'!$AC$28+'TUSD CVA'!$AC$28)*(1 - 0.1)</f>
        <v>118.61260169285404</v>
      </c>
      <c r="AB28" s="12">
        <f ca="1">('TUSD BE'!$AE$28+'TUSD BF'!$AE$28+'TUSD CVA'!$AE$28)*(1 - 0.1)</f>
        <v>-4.0999454758803919</v>
      </c>
      <c r="AC28" s="12">
        <f ca="1">('TUSD BE'!$AF$28+'TUSD BF'!$AF$28+'TUSD CVA'!$AF$28)*(1 - 0.1)</f>
        <v>0</v>
      </c>
      <c r="AD28" s="12">
        <f>('TUSD BE'!$AH$28+'TUSD BF'!$AH$28+'TUSD CVA'!$AH$28)*(1 - 0.1)</f>
        <v>12.252798115482937</v>
      </c>
      <c r="AE28" s="12">
        <f>('TUSD BE'!$AI$28+'TUSD BF'!$AI$28+'TUSD CVA'!$AI$28)*(1 - 0.1)</f>
        <v>0</v>
      </c>
      <c r="AF28" s="12">
        <f ca="1">('TUSD BE'!$AJ$28+'TUSD BF'!$AJ$28+'TUSD CVA'!$AJ$28)*(1 - 0.1)</f>
        <v>0</v>
      </c>
      <c r="AG28" s="12">
        <f ca="1">('TUSD BE'!$AK$28+'TUSD BF'!$AK$28+'TUSD CVA'!$AK$28)*(1 - 0.1)</f>
        <v>0</v>
      </c>
      <c r="AI28" s="12">
        <v>0</v>
      </c>
      <c r="AJ28" s="12">
        <v>0.42534803265473098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40.059476924255101</v>
      </c>
      <c r="AV28" s="12">
        <v>0</v>
      </c>
      <c r="AW28" s="12">
        <v>0</v>
      </c>
      <c r="AX28" s="12">
        <v>100.22841187601701</v>
      </c>
      <c r="AY28" s="12">
        <v>0</v>
      </c>
      <c r="AZ28" s="12">
        <v>0</v>
      </c>
      <c r="BA28" s="12">
        <v>1.4784524495436</v>
      </c>
      <c r="BB28" s="12">
        <v>0</v>
      </c>
      <c r="BC28" s="12">
        <v>0</v>
      </c>
      <c r="BD28" s="12">
        <v>0</v>
      </c>
    </row>
    <row r="29" spans="1:56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>
        <f>('TUSD BE'!$L$29+'TUSD BF'!$L$29+'TUSD CVA'!$L$29)*1</f>
        <v>0</v>
      </c>
      <c r="M29" s="12">
        <f>('TUSD BE'!$M$29+'TUSD BF'!$M$29+'TUSD CVA'!$M$29)*1</f>
        <v>0.59205655079037456</v>
      </c>
      <c r="N29" s="12">
        <f ca="1">('TUSD BE'!$N$29+'TUSD BF'!$N$29+'TUSD CVA'!$N$29)*1</f>
        <v>0</v>
      </c>
      <c r="O29" s="12">
        <f>('TUSD BE'!$O$29+'TUSD BF'!$O$29+'TUSD CVA'!$O$29)*1</f>
        <v>0</v>
      </c>
      <c r="P29" s="12">
        <v>0</v>
      </c>
      <c r="Q29" s="12">
        <f>('TUSD BE'!$Q$29+'TUSD BF'!$Q$29+'TUSD CVA'!$Q$29)*1</f>
        <v>0</v>
      </c>
      <c r="R29" s="12">
        <v>0</v>
      </c>
      <c r="S29" s="12">
        <f>('TUSD BE'!$S$29+'TUSD BF'!$S$29+'TUSD CVA'!$S$29)*1</f>
        <v>0</v>
      </c>
      <c r="T29" s="12">
        <f>('TUSD BE'!$U$29+'TUSD BF'!$U$29+'TUSD CVA'!$U$29)*1</f>
        <v>0</v>
      </c>
      <c r="U29" s="12">
        <f>('TUSD BE'!$V$29+'TUSD BF'!$V$29+'TUSD CVA'!$V$29)*1</f>
        <v>0</v>
      </c>
      <c r="V29" s="12">
        <f>('TUSD BE'!$W$29+'TUSD BF'!$W$29+'TUSD CVA'!$W$29)*1</f>
        <v>0</v>
      </c>
      <c r="W29" s="12">
        <f>('TUSD BE'!$X$29+'TUSD BF'!$X$29+'TUSD CVA'!$X$29)*1</f>
        <v>0</v>
      </c>
      <c r="X29" s="12">
        <f>('TUSD BE'!$Y$29+'TUSD BF'!$Y$29+'TUSD CVA'!$Y$29)*1</f>
        <v>37.899666787616361</v>
      </c>
      <c r="Y29" s="12">
        <f>('TUSD BE'!$Z$29+'TUSD BF'!$Z$29+'TUSD CVA'!$Z$29)*1</f>
        <v>0</v>
      </c>
      <c r="Z29" s="12">
        <f>('TUSD BE'!$AA$29+'TUSD BF'!$AA$29+'TUSD CVA'!$AA$29)*1</f>
        <v>0</v>
      </c>
      <c r="AA29" s="12">
        <f>('TUSD BE'!$AC$29+'TUSD BF'!$AC$29+'TUSD CVA'!$AC$29)*1</f>
        <v>131.79177965872671</v>
      </c>
      <c r="AB29" s="12">
        <f ca="1">('TUSD BE'!$AE$29+'TUSD BF'!$AE$29+'TUSD CVA'!$AE$29)*1</f>
        <v>-4.5554949732004353</v>
      </c>
      <c r="AC29" s="12">
        <f ca="1">('TUSD BE'!$AF$29+'TUSD BF'!$AF$29+'TUSD CVA'!$AF$29)*1</f>
        <v>0</v>
      </c>
      <c r="AD29" s="12">
        <f>('TUSD BE'!$AH$29+'TUSD BF'!$AH$29+'TUSD CVA'!$AH$29)*1</f>
        <v>13.614220128314374</v>
      </c>
      <c r="AE29" s="12">
        <f>('TUSD BE'!$AI$29+'TUSD BF'!$AI$29+'TUSD CVA'!$AI$29)*1</f>
        <v>0</v>
      </c>
      <c r="AF29" s="12">
        <f ca="1">('TUSD BE'!$AJ$29+'TUSD BF'!$AJ$29+'TUSD CVA'!$AJ$29)*1</f>
        <v>0</v>
      </c>
      <c r="AG29" s="12">
        <f ca="1">('TUSD BE'!$AK$29+'TUSD BF'!$AK$29+'TUSD CVA'!$AK$29)*1</f>
        <v>0</v>
      </c>
      <c r="AI29" s="12">
        <v>0</v>
      </c>
      <c r="AJ29" s="12">
        <v>0.47260892517192399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44.510529915839001</v>
      </c>
      <c r="AV29" s="12">
        <v>0</v>
      </c>
      <c r="AW29" s="12">
        <v>0</v>
      </c>
      <c r="AX29" s="12">
        <v>111.36490208446401</v>
      </c>
      <c r="AY29" s="12">
        <v>0</v>
      </c>
      <c r="AZ29" s="12">
        <v>0</v>
      </c>
      <c r="BA29" s="12">
        <v>1.6427249439373299</v>
      </c>
      <c r="BB29" s="12">
        <v>0</v>
      </c>
      <c r="BC29" s="12">
        <v>0</v>
      </c>
      <c r="BD29" s="12">
        <v>0</v>
      </c>
    </row>
    <row r="30" spans="1:56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>
        <f>('TUSD BE'!$L$30+'TUSD BF'!$L$30+'TUSD CVA'!$L$30)*(1 - CUSTOS!$M$38)</f>
        <v>0</v>
      </c>
      <c r="M30" s="12">
        <f>('TUSD BE'!$M$30+'TUSD BF'!$M$30+'TUSD CVA'!$M$30)*(1 - CUSTOS!$M$38)</f>
        <v>0.55653315774295209</v>
      </c>
      <c r="N30" s="12">
        <f ca="1">('TUSD BE'!$N$30+'TUSD BF'!$N$30+'TUSD CVA'!$N$30)*(1 - CUSTOS!$M$38)</f>
        <v>0</v>
      </c>
      <c r="O30" s="12">
        <f>('TUSD BE'!$O$30+'TUSD BF'!$O$30+'TUSD CVA'!$O$30)*(1 - CUSTOS!$M$38)</f>
        <v>0</v>
      </c>
      <c r="P30" s="12">
        <f>('TUSD BE'!$P$30+'TUSD BF'!$P$30+'TUSD CVA'!$P$30)*(1 - CUSTOS!$M$38)</f>
        <v>0</v>
      </c>
      <c r="Q30" s="12">
        <f>('TUSD BE'!$Q$30+'TUSD BF'!$Q$30+'TUSD CVA'!$Q$30)*(1 - CUSTOS!$M$38)</f>
        <v>83.426411511379058</v>
      </c>
      <c r="R30" s="12">
        <f>('TUSD BE'!$R$30+'TUSD BF'!$R$30+'TUSD CVA'!$R$30)*(1 - CUSTOS!$M$38)</f>
        <v>13.188854950582344</v>
      </c>
      <c r="S30" s="12">
        <f>('TUSD BE'!$S$30+'TUSD BF'!$S$30+'TUSD CVA'!$S$30)*(1 - CUSTOS!$M$38)</f>
        <v>0</v>
      </c>
      <c r="T30" s="12">
        <f>('TUSD BE'!$U$30+'TUSD BF'!$U$30+'TUSD CVA'!$U$30)*(1 - CUSTOS!$M$38)</f>
        <v>0</v>
      </c>
      <c r="U30" s="12">
        <f>('TUSD BE'!$V$30+'TUSD BF'!$V$30+'TUSD CVA'!$V$30)*(1 - CUSTOS!$M$38)</f>
        <v>0</v>
      </c>
      <c r="V30" s="12">
        <f>('TUSD BE'!$W$30+'TUSD BF'!$W$30+'TUSD CVA'!$W$30)*(1 - CUSTOS!$M$38)</f>
        <v>0</v>
      </c>
      <c r="W30" s="12">
        <f>('TUSD BE'!$X$30+'TUSD BF'!$X$30+'TUSD CVA'!$X$30)*(1 - CUSTOS!$M$38)</f>
        <v>0</v>
      </c>
      <c r="X30" s="12">
        <f>('TUSD BE'!$Y$30+'TUSD BF'!$Y$30+'TUSD CVA'!$Y$30)*(1 - CUSTOS!$M$38)</f>
        <v>105.07839393171761</v>
      </c>
      <c r="Y30" s="12">
        <f>('TUSD BE'!$Z$30+'TUSD BF'!$Z$30+'TUSD CVA'!$Z$30)*(1 - CUSTOS!$M$38)</f>
        <v>0</v>
      </c>
      <c r="Z30" s="12">
        <f>('TUSD BE'!$AA$30+'TUSD BF'!$AA$30+'TUSD CVA'!$AA$30)*(1 - CUSTOS!$M$38)</f>
        <v>0</v>
      </c>
      <c r="AA30" s="12">
        <f>('TUSD BE'!$AC$30+'TUSD BF'!$AC$30+'TUSD CVA'!$AC$30)*(1 - CUSTOS!$M$38)</f>
        <v>365.45862603620725</v>
      </c>
      <c r="AB30" s="12">
        <f ca="1">('TUSD BE'!$AE$30+'TUSD BF'!$AE$30+'TUSD CVA'!$AE$30)*(1 - CUSTOS!$M$38)</f>
        <v>-14.423611948680561</v>
      </c>
      <c r="AC30" s="12">
        <f ca="1">('TUSD BE'!$AF$30+'TUSD BF'!$AF$30+'TUSD CVA'!$AF$30)*(1 - CUSTOS!$M$38)</f>
        <v>0</v>
      </c>
      <c r="AD30" s="12">
        <f>('TUSD BE'!$AH$30+'TUSD BF'!$AH$30+'TUSD CVA'!$AH$30)*(1 - CUSTOS!$M$38)</f>
        <v>12.797366920615511</v>
      </c>
      <c r="AE30" s="12">
        <f>('TUSD BE'!$AI$30+'TUSD BF'!$AI$30+'TUSD CVA'!$AI$30)*(1 - CUSTOS!$M$38)</f>
        <v>0</v>
      </c>
      <c r="AF30" s="12">
        <f ca="1">('TUSD BE'!$AJ$30+'TUSD BF'!$AJ$30+'TUSD CVA'!$AJ$30)*(1 - CUSTOS!$M$38)</f>
        <v>0</v>
      </c>
      <c r="AG30" s="12">
        <f ca="1">('TUSD BE'!$AK$30+'TUSD BF'!$AK$30+'TUSD CVA'!$AK$30)*(1 - CUSTOS!$M$38)</f>
        <v>0</v>
      </c>
      <c r="AI30" s="12">
        <v>0</v>
      </c>
      <c r="AJ30" s="12">
        <v>0.41589585415129299</v>
      </c>
      <c r="AK30" s="12">
        <v>0</v>
      </c>
      <c r="AL30" s="12">
        <v>0</v>
      </c>
      <c r="AM30" s="12">
        <v>0</v>
      </c>
      <c r="AN30" s="12">
        <v>48.977822626285203</v>
      </c>
      <c r="AO30" s="12">
        <v>7.6849149589404604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115.607747040474</v>
      </c>
      <c r="AV30" s="12">
        <v>0</v>
      </c>
      <c r="AW30" s="12">
        <v>0</v>
      </c>
      <c r="AX30" s="12">
        <v>289.10329405107302</v>
      </c>
      <c r="AY30" s="12">
        <v>0</v>
      </c>
      <c r="AZ30" s="12">
        <v>0</v>
      </c>
      <c r="BA30" s="12">
        <v>1.44559795066485</v>
      </c>
      <c r="BB30" s="12">
        <v>0</v>
      </c>
      <c r="BC30" s="12">
        <v>0</v>
      </c>
      <c r="BD30" s="12">
        <v>0</v>
      </c>
    </row>
    <row r="31" spans="1:56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>
        <f>('TUSD BE'!$L$31+'TUSD BF'!$L$31+'TUSD CVA'!$L$31)*(1 - CUSTOS!$M$38)</f>
        <v>0</v>
      </c>
      <c r="M31" s="12">
        <f>('TUSD BE'!$M$31+'TUSD BF'!$M$31+'TUSD CVA'!$M$31)*(1 - CUSTOS!$M$38)</f>
        <v>0.55653315774295209</v>
      </c>
      <c r="N31" s="12">
        <f ca="1">('TUSD BE'!$N$31+'TUSD BF'!$N$31+'TUSD CVA'!$N$31)*(1 - CUSTOS!$M$38)</f>
        <v>0</v>
      </c>
      <c r="O31" s="12">
        <f>('TUSD BE'!$O$31+'TUSD BF'!$O$31+'TUSD CVA'!$O$31)*(1 - CUSTOS!$M$38)</f>
        <v>0</v>
      </c>
      <c r="P31" s="12">
        <f>('TUSD BE'!$P$31+'TUSD BF'!$P$31+'TUSD CVA'!$P$31)*(1 - CUSTOS!$M$38)</f>
        <v>0</v>
      </c>
      <c r="Q31" s="12">
        <f>('TUSD BE'!$Q$31+'TUSD BF'!$Q$31+'TUSD CVA'!$Q$31)*(1 - CUSTOS!$M$38)</f>
        <v>83.426411511379058</v>
      </c>
      <c r="R31" s="12">
        <f>('TUSD BE'!$R$31+'TUSD BF'!$R$31+'TUSD CVA'!$R$31)*(1 - CUSTOS!$M$38)</f>
        <v>13.188854950582344</v>
      </c>
      <c r="S31" s="12">
        <f>('TUSD BE'!$S$31+'TUSD BF'!$S$31+'TUSD CVA'!$S$31)*(1 - CUSTOS!$M$38)</f>
        <v>0</v>
      </c>
      <c r="T31" s="12">
        <f>('TUSD BE'!$U$31+'TUSD BF'!$U$31+'TUSD CVA'!$U$31)*(1 - CUSTOS!$M$38)</f>
        <v>0</v>
      </c>
      <c r="U31" s="12">
        <f>('TUSD BE'!$V$31+'TUSD BF'!$V$31+'TUSD CVA'!$V$31)*(1 - CUSTOS!$M$38)</f>
        <v>0</v>
      </c>
      <c r="V31" s="12">
        <f>('TUSD BE'!$W$31+'TUSD BF'!$W$31+'TUSD CVA'!$W$31)*(1 - CUSTOS!$M$38)</f>
        <v>0</v>
      </c>
      <c r="W31" s="12">
        <f>('TUSD BE'!$X$31+'TUSD BF'!$X$31+'TUSD CVA'!$X$31)*(1 - CUSTOS!$M$38)</f>
        <v>0</v>
      </c>
      <c r="X31" s="12">
        <f>('TUSD BE'!$Y$31+'TUSD BF'!$Y$31+'TUSD CVA'!$Y$31)*(1 - CUSTOS!$M$38)</f>
        <v>63.028898546499192</v>
      </c>
      <c r="Y31" s="12">
        <f>('TUSD BE'!$Z$31+'TUSD BF'!$Z$31+'TUSD CVA'!$Z$31)*(1 - CUSTOS!$M$38)</f>
        <v>0</v>
      </c>
      <c r="Z31" s="12">
        <f>('TUSD BE'!$AA$31+'TUSD BF'!$AA$31+'TUSD CVA'!$AA$31)*(1 - CUSTOS!$M$38)</f>
        <v>0</v>
      </c>
      <c r="AA31" s="12">
        <f>('TUSD BE'!$AC$31+'TUSD BF'!$AC$31+'TUSD CVA'!$AC$31)*(1 - CUSTOS!$M$38)</f>
        <v>219.27523874939848</v>
      </c>
      <c r="AB31" s="12">
        <f ca="1">('TUSD BE'!$AE$31+'TUSD BF'!$AE$31+'TUSD CVA'!$AE$31)*(1 - CUSTOS!$M$38)</f>
        <v>-9.7604256362400807</v>
      </c>
      <c r="AC31" s="12">
        <f ca="1">('TUSD BE'!$AF$31+'TUSD BF'!$AF$31+'TUSD CVA'!$AF$31)*(1 - CUSTOS!$M$38)</f>
        <v>0</v>
      </c>
      <c r="AD31" s="12">
        <f>('TUSD BE'!$AH$31+'TUSD BF'!$AH$31+'TUSD CVA'!$AH$31)*(1 - CUSTOS!$M$38)</f>
        <v>12.797366920615511</v>
      </c>
      <c r="AE31" s="12">
        <f>('TUSD BE'!$AI$31+'TUSD BF'!$AI$31+'TUSD CVA'!$AI$31)*(1 - CUSTOS!$M$38)</f>
        <v>0</v>
      </c>
      <c r="AF31" s="12">
        <f ca="1">('TUSD BE'!$AJ$31+'TUSD BF'!$AJ$31+'TUSD CVA'!$AJ$31)*(1 - CUSTOS!$M$38)</f>
        <v>0</v>
      </c>
      <c r="AG31" s="12">
        <f ca="1">('TUSD BE'!$AK$31+'TUSD BF'!$AK$31+'TUSD CVA'!$AK$31)*(1 - CUSTOS!$M$38)</f>
        <v>0</v>
      </c>
      <c r="AI31" s="12">
        <v>0</v>
      </c>
      <c r="AJ31" s="12">
        <v>0.41589585415129299</v>
      </c>
      <c r="AK31" s="12">
        <v>0</v>
      </c>
      <c r="AL31" s="12">
        <v>0</v>
      </c>
      <c r="AM31" s="12">
        <v>0</v>
      </c>
      <c r="AN31" s="12">
        <v>48.977822626285203</v>
      </c>
      <c r="AO31" s="12">
        <v>7.6849149589404604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69.360836921320399</v>
      </c>
      <c r="AV31" s="12">
        <v>0</v>
      </c>
      <c r="AW31" s="12">
        <v>0</v>
      </c>
      <c r="AX31" s="12">
        <v>173.461910512201</v>
      </c>
      <c r="AY31" s="12">
        <v>0</v>
      </c>
      <c r="AZ31" s="12">
        <v>0</v>
      </c>
      <c r="BA31" s="12">
        <v>1.44559795066485</v>
      </c>
      <c r="BB31" s="12">
        <v>0</v>
      </c>
      <c r="BC31" s="12">
        <v>0</v>
      </c>
      <c r="BD31" s="12">
        <v>0</v>
      </c>
    </row>
    <row r="32" spans="1:56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>
        <f>('TUSD BE'!$L$32+'TUSD BF'!$L$32+'TUSD CVA'!$L$32)*(1 - CUSTOS!$M$38)</f>
        <v>0</v>
      </c>
      <c r="M32" s="12">
        <f>('TUSD BE'!$M$32+'TUSD BF'!$M$32+'TUSD CVA'!$M$32)*(1 - CUSTOS!$M$38)</f>
        <v>0.55653315774295209</v>
      </c>
      <c r="N32" s="12">
        <f ca="1">('TUSD BE'!$N$32+'TUSD BF'!$N$32+'TUSD CVA'!$N$32)*(1 - CUSTOS!$M$38)</f>
        <v>0</v>
      </c>
      <c r="O32" s="12">
        <f>('TUSD BE'!$O$32+'TUSD BF'!$O$32+'TUSD CVA'!$O$32)*(1 - CUSTOS!$M$38)</f>
        <v>0</v>
      </c>
      <c r="P32" s="12">
        <f>('TUSD BE'!$P$32+'TUSD BF'!$P$32+'TUSD CVA'!$P$32)*(1 - CUSTOS!$M$38)</f>
        <v>0</v>
      </c>
      <c r="Q32" s="12">
        <f>('TUSD BE'!$Q$32+'TUSD BF'!$Q$32+'TUSD CVA'!$Q$32)*(1 - CUSTOS!$M$38)</f>
        <v>83.426411511379058</v>
      </c>
      <c r="R32" s="12">
        <f>('TUSD BE'!$R$32+'TUSD BF'!$R$32+'TUSD CVA'!$R$32)*(1 - CUSTOS!$M$38)</f>
        <v>13.188854950582344</v>
      </c>
      <c r="S32" s="12">
        <f>('TUSD BE'!$S$32+'TUSD BF'!$S$32+'TUSD CVA'!$S$32)*(1 - CUSTOS!$M$38)</f>
        <v>0</v>
      </c>
      <c r="T32" s="12">
        <f>('TUSD BE'!$U$32+'TUSD BF'!$U$32+'TUSD CVA'!$U$32)*(1 - CUSTOS!$M$38)</f>
        <v>0</v>
      </c>
      <c r="U32" s="12">
        <f>('TUSD BE'!$V$32+'TUSD BF'!$V$32+'TUSD CVA'!$V$32)*(1 - CUSTOS!$M$38)</f>
        <v>0</v>
      </c>
      <c r="V32" s="12">
        <f>('TUSD BE'!$W$32+'TUSD BF'!$W$32+'TUSD CVA'!$W$32)*(1 - CUSTOS!$M$38)</f>
        <v>0</v>
      </c>
      <c r="W32" s="12">
        <f>('TUSD BE'!$X$32+'TUSD BF'!$X$32+'TUSD CVA'!$X$32)*(1 - CUSTOS!$M$38)</f>
        <v>0</v>
      </c>
      <c r="X32" s="12">
        <f>('TUSD BE'!$Y$32+'TUSD BF'!$Y$32+'TUSD CVA'!$Y$32)*(1 - CUSTOS!$M$38)</f>
        <v>21.024747692609207</v>
      </c>
      <c r="Y32" s="12">
        <f>('TUSD BE'!$Z$32+'TUSD BF'!$Z$32+'TUSD CVA'!$Z$32)*(1 - CUSTOS!$M$38)</f>
        <v>0</v>
      </c>
      <c r="Z32" s="12">
        <f>('TUSD BE'!$AA$32+'TUSD BF'!$AA$32+'TUSD CVA'!$AA$32)*(1 - CUSTOS!$M$38)</f>
        <v>0</v>
      </c>
      <c r="AA32" s="12">
        <f>('TUSD BE'!$AC$32+'TUSD BF'!$AC$32+'TUSD CVA'!$AC$32)*(1 - CUSTOS!$M$38)</f>
        <v>73.091746249799485</v>
      </c>
      <c r="AB32" s="12">
        <f ca="1">('TUSD BE'!$AE$32+'TUSD BF'!$AE$32+'TUSD CVA'!$AE$32)*(1 - CUSTOS!$M$38)</f>
        <v>-5.0983348819533774</v>
      </c>
      <c r="AC32" s="12">
        <f ca="1">('TUSD BE'!$AF$32+'TUSD BF'!$AF$32+'TUSD CVA'!$AF$32)*(1 - CUSTOS!$M$38)</f>
        <v>0</v>
      </c>
      <c r="AD32" s="12">
        <f>('TUSD BE'!$AH$32+'TUSD BF'!$AH$32+'TUSD CVA'!$AH$32)*(1 - CUSTOS!$M$38)</f>
        <v>12.797366920615511</v>
      </c>
      <c r="AE32" s="12">
        <f>('TUSD BE'!$AI$32+'TUSD BF'!$AI$32+'TUSD CVA'!$AI$32)*(1 - CUSTOS!$M$38)</f>
        <v>0</v>
      </c>
      <c r="AF32" s="12">
        <f ca="1">('TUSD BE'!$AJ$32+'TUSD BF'!$AJ$32+'TUSD CVA'!$AJ$32)*(1 - CUSTOS!$M$38)</f>
        <v>0</v>
      </c>
      <c r="AG32" s="12">
        <f ca="1">('TUSD BE'!$AK$32+'TUSD BF'!$AK$32+'TUSD CVA'!$AK$32)*(1 - CUSTOS!$M$38)</f>
        <v>0</v>
      </c>
      <c r="AI32" s="12">
        <v>0</v>
      </c>
      <c r="AJ32" s="12">
        <v>0.41589585415129299</v>
      </c>
      <c r="AK32" s="12">
        <v>0</v>
      </c>
      <c r="AL32" s="12">
        <v>0</v>
      </c>
      <c r="AM32" s="12">
        <v>0</v>
      </c>
      <c r="AN32" s="12">
        <v>48.977822626285203</v>
      </c>
      <c r="AO32" s="12">
        <v>7.6849149589404604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23.113836486930801</v>
      </c>
      <c r="AV32" s="12">
        <v>0</v>
      </c>
      <c r="AW32" s="12">
        <v>0</v>
      </c>
      <c r="AX32" s="12">
        <v>57.820609371382403</v>
      </c>
      <c r="AY32" s="12">
        <v>0</v>
      </c>
      <c r="AZ32" s="12">
        <v>0</v>
      </c>
      <c r="BA32" s="12">
        <v>1.44559795066485</v>
      </c>
      <c r="BB32" s="12">
        <v>0</v>
      </c>
      <c r="BC32" s="12">
        <v>0</v>
      </c>
      <c r="BD32" s="12">
        <v>0</v>
      </c>
    </row>
    <row r="33" spans="1:56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>
        <f>('TUSD BE'!$L$33+'TUSD BF'!$L$33+'TUSD CVA'!$L$33)*(1 - CUSTOS!$M$38)</f>
        <v>0</v>
      </c>
      <c r="M33" s="12">
        <f>('TUSD BE'!$M$33+'TUSD BF'!$M$33+'TUSD CVA'!$M$33)*(1 - CUSTOS!$M$38)</f>
        <v>0.55653315774295209</v>
      </c>
      <c r="N33" s="12">
        <f ca="1">('TUSD BE'!$N$33+'TUSD BF'!$N$33+'TUSD CVA'!$N$33)*(1 - CUSTOS!$M$38)</f>
        <v>0</v>
      </c>
      <c r="O33" s="12">
        <f>('TUSD BE'!$O$33+'TUSD BF'!$O$33+'TUSD CVA'!$O$33)*(1 - CUSTOS!$M$38)</f>
        <v>0</v>
      </c>
      <c r="P33" s="12">
        <f>('TUSD BE'!$P$33+'TUSD BF'!$P$33+'TUSD CVA'!$P$33)*(1 - CUSTOS!$M$38)</f>
        <v>0</v>
      </c>
      <c r="Q33" s="12">
        <f>('TUSD BE'!$Q$33+'TUSD BF'!$Q$33+'TUSD CVA'!$Q$33)*(1 - CUSTOS!$M$38)</f>
        <v>83.426411511379058</v>
      </c>
      <c r="R33" s="12">
        <f>('TUSD BE'!$R$33+'TUSD BF'!$R$33+'TUSD CVA'!$R$33)*(1 - CUSTOS!$M$38)</f>
        <v>13.188854950582344</v>
      </c>
      <c r="S33" s="12">
        <f>('TUSD BE'!$S$33+'TUSD BF'!$S$33+'TUSD CVA'!$S$33)*(1 - CUSTOS!$M$38)</f>
        <v>0</v>
      </c>
      <c r="T33" s="12">
        <f>('TUSD BE'!$U$33+'TUSD BF'!$U$33+'TUSD CVA'!$U$33)*(1 - CUSTOS!$M$38)</f>
        <v>0</v>
      </c>
      <c r="U33" s="12">
        <f>('TUSD BE'!$V$33+'TUSD BF'!$V$33+'TUSD CVA'!$V$33)*(1 - CUSTOS!$M$38)</f>
        <v>0</v>
      </c>
      <c r="V33" s="12">
        <f>('TUSD BE'!$W$33+'TUSD BF'!$W$33+'TUSD CVA'!$W$33)*(1 - CUSTOS!$M$38)</f>
        <v>0</v>
      </c>
      <c r="W33" s="12">
        <f>('TUSD BE'!$X$33+'TUSD BF'!$X$33+'TUSD CVA'!$X$33)*(1 - CUSTOS!$M$38)</f>
        <v>0</v>
      </c>
      <c r="X33" s="12">
        <f>('TUSD BE'!$Y$33+'TUSD BF'!$Y$33+'TUSD CVA'!$Y$33)*(1 - CUSTOS!$M$38)</f>
        <v>35.625686780359381</v>
      </c>
      <c r="Y33" s="12">
        <f>('TUSD BE'!$Z$33+'TUSD BF'!$Z$33+'TUSD CVA'!$Z$33)*(1 - CUSTOS!$M$38)</f>
        <v>0</v>
      </c>
      <c r="Z33" s="12">
        <f>('TUSD BE'!$AA$33+'TUSD BF'!$AA$33+'TUSD CVA'!$AA$33)*(1 - CUSTOS!$M$38)</f>
        <v>0</v>
      </c>
      <c r="AA33" s="12">
        <f>('TUSD BE'!$AC$33+'TUSD BF'!$AC$33+'TUSD CVA'!$AC$33)*(1 - CUSTOS!$M$38)</f>
        <v>123.8842728792031</v>
      </c>
      <c r="AB33" s="12">
        <f ca="1">('TUSD BE'!$AE$33+'TUSD BF'!$AE$33+'TUSD CVA'!$AE$33)*(1 - CUSTOS!$M$38)</f>
        <v>-6.7183648139167405</v>
      </c>
      <c r="AC33" s="12">
        <f ca="1">('TUSD BE'!$AF$33+'TUSD BF'!$AF$33+'TUSD CVA'!$AF$33)*(1 - CUSTOS!$M$38)</f>
        <v>0</v>
      </c>
      <c r="AD33" s="12">
        <f>('TUSD BE'!$AH$33+'TUSD BF'!$AH$33+'TUSD CVA'!$AH$33)*(1 - CUSTOS!$M$38)</f>
        <v>12.797366920615511</v>
      </c>
      <c r="AE33" s="12">
        <f>('TUSD BE'!$AI$33+'TUSD BF'!$AI$33+'TUSD CVA'!$AI$33)*(1 - CUSTOS!$M$38)</f>
        <v>0</v>
      </c>
      <c r="AF33" s="12">
        <f ca="1">('TUSD BE'!$AJ$33+'TUSD BF'!$AJ$33+'TUSD CVA'!$AJ$33)*(1 - CUSTOS!$M$38)</f>
        <v>0</v>
      </c>
      <c r="AG33" s="12">
        <f ca="1">('TUSD BE'!$AK$33+'TUSD BF'!$AK$33+'TUSD CVA'!$AK$33)*(1 - CUSTOS!$M$38)</f>
        <v>0</v>
      </c>
      <c r="AI33" s="12">
        <v>0</v>
      </c>
      <c r="AJ33" s="12">
        <v>0.41589585415129299</v>
      </c>
      <c r="AK33" s="12">
        <v>0</v>
      </c>
      <c r="AL33" s="12">
        <v>0</v>
      </c>
      <c r="AM33" s="12">
        <v>0</v>
      </c>
      <c r="AN33" s="12">
        <v>48.977822626285203</v>
      </c>
      <c r="AO33" s="12">
        <v>7.6849149589404604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39.169266325938302</v>
      </c>
      <c r="AV33" s="12">
        <v>0</v>
      </c>
      <c r="AW33" s="12">
        <v>0</v>
      </c>
      <c r="AX33" s="12">
        <v>98.001113834327896</v>
      </c>
      <c r="AY33" s="12">
        <v>0</v>
      </c>
      <c r="AZ33" s="12">
        <v>0</v>
      </c>
      <c r="BA33" s="12">
        <v>1.44559795066485</v>
      </c>
      <c r="BB33" s="12">
        <v>0</v>
      </c>
      <c r="BC33" s="12">
        <v>0</v>
      </c>
      <c r="BD33" s="12">
        <v>0</v>
      </c>
    </row>
    <row r="34" spans="1:56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>
        <f>('TUSD BE'!$L$34+'TUSD BF'!$L$34+'TUSD CVA'!$L$34)*(1 - CUSTOS!$M$39)</f>
        <v>0</v>
      </c>
      <c r="M34" s="12">
        <f>('TUSD BE'!$M$34+'TUSD BF'!$M$34+'TUSD CVA'!$M$34)*(1 - CUSTOS!$M$39)</f>
        <v>0.55653315774295209</v>
      </c>
      <c r="N34" s="12">
        <f ca="1">('TUSD BE'!$N$34+'TUSD BF'!$N$34+'TUSD CVA'!$N$34)*(1 - CUSTOS!$M$39)</f>
        <v>0</v>
      </c>
      <c r="O34" s="12">
        <f>('TUSD BE'!$O$34+'TUSD BF'!$O$34+'TUSD CVA'!$O$34)*(1 - CUSTOS!$M$39)</f>
        <v>0</v>
      </c>
      <c r="P34" s="12">
        <f>('TUSD BE'!$P$34+'TUSD BF'!$P$34+'TUSD CVA'!$P$34)*(1 - CUSTOS!$M$39)</f>
        <v>0</v>
      </c>
      <c r="Q34" s="12">
        <f>('TUSD BE'!$Q$34+'TUSD BF'!$Q$34+'TUSD CVA'!$Q$34)*(1 - CUSTOS!$M$39)</f>
        <v>83.426411511379058</v>
      </c>
      <c r="R34" s="12">
        <f>('TUSD BE'!$R$34+'TUSD BF'!$R$34+'TUSD CVA'!$R$34)*(1 - CUSTOS!$M$39)</f>
        <v>13.188854950582344</v>
      </c>
      <c r="S34" s="12">
        <f>('TUSD BE'!$S$34+'TUSD BF'!$S$34+'TUSD CVA'!$S$34)*(1 - CUSTOS!$M$39)</f>
        <v>0</v>
      </c>
      <c r="T34" s="12">
        <f>('TUSD BE'!$U$34+'TUSD BF'!$U$34+'TUSD CVA'!$U$34)*(1 - CUSTOS!$M$39)</f>
        <v>0</v>
      </c>
      <c r="U34" s="12">
        <f>('TUSD BE'!$V$34+'TUSD BF'!$V$34+'TUSD CVA'!$V$34)*(1 - CUSTOS!$M$39)</f>
        <v>0</v>
      </c>
      <c r="V34" s="12">
        <f>('TUSD BE'!$W$34+'TUSD BF'!$W$34+'TUSD CVA'!$W$34)*(1 - CUSTOS!$M$39)</f>
        <v>0</v>
      </c>
      <c r="W34" s="12">
        <f>('TUSD BE'!$X$34+'TUSD BF'!$X$34+'TUSD CVA'!$X$34)*(1 - CUSTOS!$M$39)</f>
        <v>0</v>
      </c>
      <c r="X34" s="12">
        <f>('TUSD BE'!$Y$34+'TUSD BF'!$Y$34+'TUSD CVA'!$Y$34)*(1 - CUSTOS!$M$39)</f>
        <v>105.07839393171761</v>
      </c>
      <c r="Y34" s="12">
        <f>('TUSD BE'!$Z$34+'TUSD BF'!$Z$34+'TUSD CVA'!$Z$34)*(1 - CUSTOS!$M$39)</f>
        <v>0</v>
      </c>
      <c r="Z34" s="12">
        <f>('TUSD BE'!$AA$34+'TUSD BF'!$AA$34+'TUSD CVA'!$AA$34)*(1 - CUSTOS!$M$39)</f>
        <v>0</v>
      </c>
      <c r="AA34" s="12">
        <f>('TUSD BE'!$AC$34+'TUSD BF'!$AC$34+'TUSD CVA'!$AC$34)*(1 - CUSTOS!$M$39)</f>
        <v>365.45862603620725</v>
      </c>
      <c r="AB34" s="12">
        <f ca="1">('TUSD BE'!$AE$34+'TUSD BF'!$AE$34+'TUSD CVA'!$AE$34)*(1 - CUSTOS!$M$39)</f>
        <v>-14.423611948680561</v>
      </c>
      <c r="AC34" s="12">
        <f ca="1">('TUSD BE'!$AF$34+'TUSD BF'!$AF$34+'TUSD CVA'!$AF$34)*(1 - CUSTOS!$M$39)</f>
        <v>0</v>
      </c>
      <c r="AD34" s="12">
        <f>('TUSD BE'!$AH$34+'TUSD BF'!$AH$34+'TUSD CVA'!$AH$34)*(1 - CUSTOS!$M$39)</f>
        <v>12.797366920615511</v>
      </c>
      <c r="AE34" s="12">
        <f>('TUSD BE'!$AI$34+'TUSD BF'!$AI$34+'TUSD CVA'!$AI$34)*(1 - CUSTOS!$M$39)</f>
        <v>0</v>
      </c>
      <c r="AF34" s="12">
        <f ca="1">('TUSD BE'!$AJ$34+'TUSD BF'!$AJ$34+'TUSD CVA'!$AJ$34)*(1 - CUSTOS!$M$39)</f>
        <v>0</v>
      </c>
      <c r="AG34" s="12">
        <f ca="1">('TUSD BE'!$AK$34+'TUSD BF'!$AK$34+'TUSD CVA'!$AK$34)*(1 - CUSTOS!$M$39)</f>
        <v>0</v>
      </c>
      <c r="AI34" s="12">
        <v>0</v>
      </c>
      <c r="AJ34" s="12">
        <v>0.41589585415129299</v>
      </c>
      <c r="AK34" s="12">
        <v>0</v>
      </c>
      <c r="AL34" s="12">
        <v>0</v>
      </c>
      <c r="AM34" s="12">
        <v>0</v>
      </c>
      <c r="AN34" s="12">
        <v>48.977822626285203</v>
      </c>
      <c r="AO34" s="12">
        <v>7.6849149589404604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115.607747040474</v>
      </c>
      <c r="AV34" s="12">
        <v>0</v>
      </c>
      <c r="AW34" s="12">
        <v>0</v>
      </c>
      <c r="AX34" s="12">
        <v>289.10329405107302</v>
      </c>
      <c r="AY34" s="12">
        <v>0</v>
      </c>
      <c r="AZ34" s="12">
        <v>0</v>
      </c>
      <c r="BA34" s="12">
        <v>1.44559795066485</v>
      </c>
      <c r="BB34" s="12">
        <v>0</v>
      </c>
      <c r="BC34" s="12">
        <v>0</v>
      </c>
      <c r="BD34" s="12">
        <v>0</v>
      </c>
    </row>
    <row r="35" spans="1:56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>
        <f>('TUSD BE'!$L$35+'TUSD BF'!$L$35+'TUSD CVA'!$L$35)*(1 - CUSTOS!$M$39)</f>
        <v>0</v>
      </c>
      <c r="M35" s="12">
        <f>('TUSD BE'!$M$35+'TUSD BF'!$M$35+'TUSD CVA'!$M$35)*(1 - CUSTOS!$M$39)</f>
        <v>0.55653315774295209</v>
      </c>
      <c r="N35" s="12">
        <f ca="1">('TUSD BE'!$N$35+'TUSD BF'!$N$35+'TUSD CVA'!$N$35)*(1 - CUSTOS!$M$39)</f>
        <v>0</v>
      </c>
      <c r="O35" s="12">
        <f>('TUSD BE'!$O$35+'TUSD BF'!$O$35+'TUSD CVA'!$O$35)*(1 - CUSTOS!$M$39)</f>
        <v>0</v>
      </c>
      <c r="P35" s="12">
        <f>('TUSD BE'!$P$35+'TUSD BF'!$P$35+'TUSD CVA'!$P$35)*(1 - CUSTOS!$M$39)</f>
        <v>0</v>
      </c>
      <c r="Q35" s="12">
        <f>('TUSD BE'!$Q$35+'TUSD BF'!$Q$35+'TUSD CVA'!$Q$35)*(1 - CUSTOS!$M$39)</f>
        <v>83.426411511379058</v>
      </c>
      <c r="R35" s="12">
        <f>('TUSD BE'!$R$35+'TUSD BF'!$R$35+'TUSD CVA'!$R$35)*(1 - CUSTOS!$M$39)</f>
        <v>13.188854950582344</v>
      </c>
      <c r="S35" s="12">
        <f>('TUSD BE'!$S$35+'TUSD BF'!$S$35+'TUSD CVA'!$S$35)*(1 - CUSTOS!$M$39)</f>
        <v>0</v>
      </c>
      <c r="T35" s="12">
        <f>('TUSD BE'!$U$35+'TUSD BF'!$U$35+'TUSD CVA'!$U$35)*(1 - CUSTOS!$M$39)</f>
        <v>0</v>
      </c>
      <c r="U35" s="12">
        <f>('TUSD BE'!$V$35+'TUSD BF'!$V$35+'TUSD CVA'!$V$35)*(1 - CUSTOS!$M$39)</f>
        <v>0</v>
      </c>
      <c r="V35" s="12">
        <f>('TUSD BE'!$W$35+'TUSD BF'!$W$35+'TUSD CVA'!$W$35)*(1 - CUSTOS!$M$39)</f>
        <v>0</v>
      </c>
      <c r="W35" s="12">
        <f>('TUSD BE'!$X$35+'TUSD BF'!$X$35+'TUSD CVA'!$X$35)*(1 - CUSTOS!$M$39)</f>
        <v>0</v>
      </c>
      <c r="X35" s="12">
        <f>('TUSD BE'!$Y$35+'TUSD BF'!$Y$35+'TUSD CVA'!$Y$35)*(1 - CUSTOS!$M$39)</f>
        <v>63.028898546499192</v>
      </c>
      <c r="Y35" s="12">
        <f>('TUSD BE'!$Z$35+'TUSD BF'!$Z$35+'TUSD CVA'!$Z$35)*(1 - CUSTOS!$M$39)</f>
        <v>0</v>
      </c>
      <c r="Z35" s="12">
        <f>('TUSD BE'!$AA$35+'TUSD BF'!$AA$35+'TUSD CVA'!$AA$35)*(1 - CUSTOS!$M$39)</f>
        <v>0</v>
      </c>
      <c r="AA35" s="12">
        <f>('TUSD BE'!$AC$35+'TUSD BF'!$AC$35+'TUSD CVA'!$AC$35)*(1 - CUSTOS!$M$39)</f>
        <v>219.27523874939848</v>
      </c>
      <c r="AB35" s="12">
        <f ca="1">('TUSD BE'!$AE$35+'TUSD BF'!$AE$35+'TUSD CVA'!$AE$35)*(1 - CUSTOS!$M$39)</f>
        <v>-9.7604256362400807</v>
      </c>
      <c r="AC35" s="12">
        <f ca="1">('TUSD BE'!$AF$35+'TUSD BF'!$AF$35+'TUSD CVA'!$AF$35)*(1 - CUSTOS!$M$39)</f>
        <v>0</v>
      </c>
      <c r="AD35" s="12">
        <f>('TUSD BE'!$AH$35+'TUSD BF'!$AH$35+'TUSD CVA'!$AH$35)*(1 - CUSTOS!$M$39)</f>
        <v>12.797366920615511</v>
      </c>
      <c r="AE35" s="12">
        <f>('TUSD BE'!$AI$35+'TUSD BF'!$AI$35+'TUSD CVA'!$AI$35)*(1 - CUSTOS!$M$39)</f>
        <v>0</v>
      </c>
      <c r="AF35" s="12">
        <f ca="1">('TUSD BE'!$AJ$35+'TUSD BF'!$AJ$35+'TUSD CVA'!$AJ$35)*(1 - CUSTOS!$M$39)</f>
        <v>0</v>
      </c>
      <c r="AG35" s="12">
        <f ca="1">('TUSD BE'!$AK$35+'TUSD BF'!$AK$35+'TUSD CVA'!$AK$35)*(1 - CUSTOS!$M$39)</f>
        <v>0</v>
      </c>
      <c r="AI35" s="12">
        <v>0</v>
      </c>
      <c r="AJ35" s="12">
        <v>0.41589585415129299</v>
      </c>
      <c r="AK35" s="12">
        <v>0</v>
      </c>
      <c r="AL35" s="12">
        <v>0</v>
      </c>
      <c r="AM35" s="12">
        <v>0</v>
      </c>
      <c r="AN35" s="12">
        <v>48.977822626285203</v>
      </c>
      <c r="AO35" s="12">
        <v>7.6849149589404604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69.360836921320399</v>
      </c>
      <c r="AV35" s="12">
        <v>0</v>
      </c>
      <c r="AW35" s="12">
        <v>0</v>
      </c>
      <c r="AX35" s="12">
        <v>173.461910512201</v>
      </c>
      <c r="AY35" s="12">
        <v>0</v>
      </c>
      <c r="AZ35" s="12">
        <v>0</v>
      </c>
      <c r="BA35" s="12">
        <v>1.44559795066485</v>
      </c>
      <c r="BB35" s="12">
        <v>0</v>
      </c>
      <c r="BC35" s="12">
        <v>0</v>
      </c>
      <c r="BD35" s="12">
        <v>0</v>
      </c>
    </row>
    <row r="36" spans="1:56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>
        <f>('TUSD BE'!$L$36+'TUSD BF'!$L$36+'TUSD CVA'!$L$36)*(1 - CUSTOS!$M$39)</f>
        <v>0</v>
      </c>
      <c r="M36" s="12">
        <f>('TUSD BE'!$M$36+'TUSD BF'!$M$36+'TUSD CVA'!$M$36)*(1 - CUSTOS!$M$39)</f>
        <v>0.55653315774295209</v>
      </c>
      <c r="N36" s="12">
        <f ca="1">('TUSD BE'!$N$36+'TUSD BF'!$N$36+'TUSD CVA'!$N$36)*(1 - CUSTOS!$M$39)</f>
        <v>0</v>
      </c>
      <c r="O36" s="12">
        <f>('TUSD BE'!$O$36+'TUSD BF'!$O$36+'TUSD CVA'!$O$36)*(1 - CUSTOS!$M$39)</f>
        <v>0</v>
      </c>
      <c r="P36" s="12">
        <f>('TUSD BE'!$P$36+'TUSD BF'!$P$36+'TUSD CVA'!$P$36)*(1 - CUSTOS!$M$39)</f>
        <v>0</v>
      </c>
      <c r="Q36" s="12">
        <f>('TUSD BE'!$Q$36+'TUSD BF'!$Q$36+'TUSD CVA'!$Q$36)*(1 - CUSTOS!$M$39)</f>
        <v>83.426411511379058</v>
      </c>
      <c r="R36" s="12">
        <f>('TUSD BE'!$R$36+'TUSD BF'!$R$36+'TUSD CVA'!$R$36)*(1 - CUSTOS!$M$39)</f>
        <v>13.188854950582344</v>
      </c>
      <c r="S36" s="12">
        <f>('TUSD BE'!$S$36+'TUSD BF'!$S$36+'TUSD CVA'!$S$36)*(1 - CUSTOS!$M$39)</f>
        <v>0</v>
      </c>
      <c r="T36" s="12">
        <f>('TUSD BE'!$U$36+'TUSD BF'!$U$36+'TUSD CVA'!$U$36)*(1 - CUSTOS!$M$39)</f>
        <v>0</v>
      </c>
      <c r="U36" s="12">
        <f>('TUSD BE'!$V$36+'TUSD BF'!$V$36+'TUSD CVA'!$V$36)*(1 - CUSTOS!$M$39)</f>
        <v>0</v>
      </c>
      <c r="V36" s="12">
        <f>('TUSD BE'!$W$36+'TUSD BF'!$W$36+'TUSD CVA'!$W$36)*(1 - CUSTOS!$M$39)</f>
        <v>0</v>
      </c>
      <c r="W36" s="12">
        <f>('TUSD BE'!$X$36+'TUSD BF'!$X$36+'TUSD CVA'!$X$36)*(1 - CUSTOS!$M$39)</f>
        <v>0</v>
      </c>
      <c r="X36" s="12">
        <f>('TUSD BE'!$Y$36+'TUSD BF'!$Y$36+'TUSD CVA'!$Y$36)*(1 - CUSTOS!$M$39)</f>
        <v>21.024747692609207</v>
      </c>
      <c r="Y36" s="12">
        <f>('TUSD BE'!$Z$36+'TUSD BF'!$Z$36+'TUSD CVA'!$Z$36)*(1 - CUSTOS!$M$39)</f>
        <v>0</v>
      </c>
      <c r="Z36" s="12">
        <f>('TUSD BE'!$AA$36+'TUSD BF'!$AA$36+'TUSD CVA'!$AA$36)*(1 - CUSTOS!$M$39)</f>
        <v>0</v>
      </c>
      <c r="AA36" s="12">
        <f>('TUSD BE'!$AC$36+'TUSD BF'!$AC$36+'TUSD CVA'!$AC$36)*(1 - CUSTOS!$M$39)</f>
        <v>73.091746249799485</v>
      </c>
      <c r="AB36" s="12">
        <f ca="1">('TUSD BE'!$AE$36+'TUSD BF'!$AE$36+'TUSD CVA'!$AE$36)*(1 - CUSTOS!$M$39)</f>
        <v>-5.0983348819533774</v>
      </c>
      <c r="AC36" s="12">
        <f ca="1">('TUSD BE'!$AF$36+'TUSD BF'!$AF$36+'TUSD CVA'!$AF$36)*(1 - CUSTOS!$M$39)</f>
        <v>0</v>
      </c>
      <c r="AD36" s="12">
        <f>('TUSD BE'!$AH$36+'TUSD BF'!$AH$36+'TUSD CVA'!$AH$36)*(1 - CUSTOS!$M$39)</f>
        <v>12.797366920615511</v>
      </c>
      <c r="AE36" s="12">
        <f>('TUSD BE'!$AI$36+'TUSD BF'!$AI$36+'TUSD CVA'!$AI$36)*(1 - CUSTOS!$M$39)</f>
        <v>0</v>
      </c>
      <c r="AF36" s="12">
        <f ca="1">('TUSD BE'!$AJ$36+'TUSD BF'!$AJ$36+'TUSD CVA'!$AJ$36)*(1 - CUSTOS!$M$39)</f>
        <v>0</v>
      </c>
      <c r="AG36" s="12">
        <f ca="1">('TUSD BE'!$AK$36+'TUSD BF'!$AK$36+'TUSD CVA'!$AK$36)*(1 - CUSTOS!$M$39)</f>
        <v>0</v>
      </c>
      <c r="AI36" s="12">
        <v>0</v>
      </c>
      <c r="AJ36" s="12">
        <v>0.41589585415129299</v>
      </c>
      <c r="AK36" s="12">
        <v>0</v>
      </c>
      <c r="AL36" s="12">
        <v>0</v>
      </c>
      <c r="AM36" s="12">
        <v>0</v>
      </c>
      <c r="AN36" s="12">
        <v>48.977822626285203</v>
      </c>
      <c r="AO36" s="12">
        <v>7.6849149589404604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23.113836486930801</v>
      </c>
      <c r="AV36" s="12">
        <v>0</v>
      </c>
      <c r="AW36" s="12">
        <v>0</v>
      </c>
      <c r="AX36" s="12">
        <v>57.820609371382403</v>
      </c>
      <c r="AY36" s="12">
        <v>0</v>
      </c>
      <c r="AZ36" s="12">
        <v>0</v>
      </c>
      <c r="BA36" s="12">
        <v>1.44559795066485</v>
      </c>
      <c r="BB36" s="12">
        <v>0</v>
      </c>
      <c r="BC36" s="12">
        <v>0</v>
      </c>
      <c r="BD36" s="12">
        <v>0</v>
      </c>
    </row>
    <row r="37" spans="1:56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>
        <f>('TUSD BE'!$L$37+'TUSD BF'!$L$37+'TUSD CVA'!$L$37)*(1 - CUSTOS!$M$39)</f>
        <v>0</v>
      </c>
      <c r="M37" s="12">
        <f>('TUSD BE'!$M$37+'TUSD BF'!$M$37+'TUSD CVA'!$M$37)*(1 - CUSTOS!$M$39)</f>
        <v>0.55653315774295209</v>
      </c>
      <c r="N37" s="12">
        <f ca="1">('TUSD BE'!$N$37+'TUSD BF'!$N$37+'TUSD CVA'!$N$37)*(1 - CUSTOS!$M$39)</f>
        <v>0</v>
      </c>
      <c r="O37" s="12">
        <f>('TUSD BE'!$O$37+'TUSD BF'!$O$37+'TUSD CVA'!$O$37)*(1 - CUSTOS!$M$39)</f>
        <v>0</v>
      </c>
      <c r="P37" s="12">
        <f>('TUSD BE'!$P$37+'TUSD BF'!$P$37+'TUSD CVA'!$P$37)*(1 - CUSTOS!$M$39)</f>
        <v>0</v>
      </c>
      <c r="Q37" s="12">
        <f>('TUSD BE'!$Q$37+'TUSD BF'!$Q$37+'TUSD CVA'!$Q$37)*(1 - CUSTOS!$M$39)</f>
        <v>83.426411511379058</v>
      </c>
      <c r="R37" s="12">
        <f>('TUSD BE'!$R$37+'TUSD BF'!$R$37+'TUSD CVA'!$R$37)*(1 - CUSTOS!$M$39)</f>
        <v>13.188854950582344</v>
      </c>
      <c r="S37" s="12">
        <f>('TUSD BE'!$S$37+'TUSD BF'!$S$37+'TUSD CVA'!$S$37)*(1 - CUSTOS!$M$39)</f>
        <v>0</v>
      </c>
      <c r="T37" s="12">
        <f>('TUSD BE'!$U$37+'TUSD BF'!$U$37+'TUSD CVA'!$U$37)*(1 - CUSTOS!$M$39)</f>
        <v>0</v>
      </c>
      <c r="U37" s="12">
        <f>('TUSD BE'!$V$37+'TUSD BF'!$V$37+'TUSD CVA'!$V$37)*(1 - CUSTOS!$M$39)</f>
        <v>0</v>
      </c>
      <c r="V37" s="12">
        <f>('TUSD BE'!$W$37+'TUSD BF'!$W$37+'TUSD CVA'!$W$37)*(1 - CUSTOS!$M$39)</f>
        <v>0</v>
      </c>
      <c r="W37" s="12">
        <f>('TUSD BE'!$X$37+'TUSD BF'!$X$37+'TUSD CVA'!$X$37)*(1 - CUSTOS!$M$39)</f>
        <v>0</v>
      </c>
      <c r="X37" s="12">
        <f>('TUSD BE'!$Y$37+'TUSD BF'!$Y$37+'TUSD CVA'!$Y$37)*(1 - CUSTOS!$M$39)</f>
        <v>35.625686780359381</v>
      </c>
      <c r="Y37" s="12">
        <f>('TUSD BE'!$Z$37+'TUSD BF'!$Z$37+'TUSD CVA'!$Z$37)*(1 - CUSTOS!$M$39)</f>
        <v>0</v>
      </c>
      <c r="Z37" s="12">
        <f>('TUSD BE'!$AA$37+'TUSD BF'!$AA$37+'TUSD CVA'!$AA$37)*(1 - CUSTOS!$M$39)</f>
        <v>0</v>
      </c>
      <c r="AA37" s="12">
        <f>('TUSD BE'!$AC$37+'TUSD BF'!$AC$37+'TUSD CVA'!$AC$37)*(1 - CUSTOS!$M$39)</f>
        <v>123.8842728792031</v>
      </c>
      <c r="AB37" s="12">
        <f ca="1">('TUSD BE'!$AE$37+'TUSD BF'!$AE$37+'TUSD CVA'!$AE$37)*(1 - CUSTOS!$M$39)</f>
        <v>-6.7183648139167405</v>
      </c>
      <c r="AC37" s="12">
        <f ca="1">('TUSD BE'!$AF$37+'TUSD BF'!$AF$37+'TUSD CVA'!$AF$37)*(1 - CUSTOS!$M$39)</f>
        <v>0</v>
      </c>
      <c r="AD37" s="12">
        <f>('TUSD BE'!$AH$37+'TUSD BF'!$AH$37+'TUSD CVA'!$AH$37)*(1 - CUSTOS!$M$39)</f>
        <v>12.797366920615511</v>
      </c>
      <c r="AE37" s="12">
        <f>('TUSD BE'!$AI$37+'TUSD BF'!$AI$37+'TUSD CVA'!$AI$37)*(1 - CUSTOS!$M$39)</f>
        <v>0</v>
      </c>
      <c r="AF37" s="12">
        <f ca="1">('TUSD BE'!$AJ$37+'TUSD BF'!$AJ$37+'TUSD CVA'!$AJ$37)*(1 - CUSTOS!$M$39)</f>
        <v>0</v>
      </c>
      <c r="AG37" s="12">
        <f ca="1">('TUSD BE'!$AK$37+'TUSD BF'!$AK$37+'TUSD CVA'!$AK$37)*(1 - CUSTOS!$M$39)</f>
        <v>0</v>
      </c>
      <c r="AI37" s="12">
        <v>0</v>
      </c>
      <c r="AJ37" s="12">
        <v>0.41589585415129299</v>
      </c>
      <c r="AK37" s="12">
        <v>0</v>
      </c>
      <c r="AL37" s="12">
        <v>0</v>
      </c>
      <c r="AM37" s="12">
        <v>0</v>
      </c>
      <c r="AN37" s="12">
        <v>48.977822626285203</v>
      </c>
      <c r="AO37" s="12">
        <v>7.6849149589404604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39.169266325938302</v>
      </c>
      <c r="AV37" s="12">
        <v>0</v>
      </c>
      <c r="AW37" s="12">
        <v>0</v>
      </c>
      <c r="AX37" s="12">
        <v>98.001113834327896</v>
      </c>
      <c r="AY37" s="12">
        <v>0</v>
      </c>
      <c r="AZ37" s="12">
        <v>0</v>
      </c>
      <c r="BA37" s="12">
        <v>1.44559795066485</v>
      </c>
      <c r="BB37" s="12">
        <v>0</v>
      </c>
      <c r="BC37" s="12">
        <v>0</v>
      </c>
      <c r="BD37" s="12">
        <v>0</v>
      </c>
    </row>
    <row r="38" spans="1:56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>
        <f>('TUSD BE'!$L$38+'TUSD BF'!$L$38+'TUSD CVA'!$L$38)*(1 - CUSTOS!$M$40)</f>
        <v>0</v>
      </c>
      <c r="M38" s="12">
        <f>('TUSD BE'!$M$38+'TUSD BF'!$M$38+'TUSD CVA'!$M$38)*(1 - CUSTOS!$M$40)</f>
        <v>0.54469202672714456</v>
      </c>
      <c r="N38" s="12">
        <f ca="1">('TUSD BE'!$N$38+'TUSD BF'!$N$38+'TUSD CVA'!$N$38)*(1 - CUSTOS!$M$40)</f>
        <v>0</v>
      </c>
      <c r="O38" s="12">
        <f>('TUSD BE'!$O$38+'TUSD BF'!$O$38+'TUSD CVA'!$O$38)*(1 - CUSTOS!$M$40)</f>
        <v>0</v>
      </c>
      <c r="P38" s="12">
        <f>('TUSD BE'!$P$38+'TUSD BF'!$P$38+'TUSD CVA'!$P$38)*(1 - CUSTOS!$M$40)</f>
        <v>0</v>
      </c>
      <c r="Q38" s="12">
        <f>('TUSD BE'!$Q$38+'TUSD BF'!$Q$38+'TUSD CVA'!$Q$38)*(1 - CUSTOS!$M$40)</f>
        <v>81.651381479222053</v>
      </c>
      <c r="R38" s="12">
        <f>('TUSD BE'!$R$38+'TUSD BF'!$R$38+'TUSD CVA'!$R$38)*(1 - CUSTOS!$M$40)</f>
        <v>12.908241015463572</v>
      </c>
      <c r="S38" s="12">
        <f>('TUSD BE'!$S$38+'TUSD BF'!$S$38+'TUSD CVA'!$S$38)*(1 - CUSTOS!$M$40)</f>
        <v>0</v>
      </c>
      <c r="T38" s="12">
        <f>('TUSD BE'!$U$38+'TUSD BF'!$U$38+'TUSD CVA'!$U$38)*(1 - CUSTOS!$M$40)</f>
        <v>0</v>
      </c>
      <c r="U38" s="12">
        <f>('TUSD BE'!$V$38+'TUSD BF'!$V$38+'TUSD CVA'!$V$38)*(1 - CUSTOS!$M$40)</f>
        <v>0</v>
      </c>
      <c r="V38" s="12">
        <f>('TUSD BE'!$W$38+'TUSD BF'!$W$38+'TUSD CVA'!$W$38)*(1 - CUSTOS!$M$40)</f>
        <v>0</v>
      </c>
      <c r="W38" s="12">
        <f>('TUSD BE'!$X$38+'TUSD BF'!$X$38+'TUSD CVA'!$X$38)*(1 - CUSTOS!$M$40)</f>
        <v>0</v>
      </c>
      <c r="X38" s="12">
        <f>('TUSD BE'!$Y$38+'TUSD BF'!$Y$38+'TUSD CVA'!$Y$38)*(1 - CUSTOS!$M$40)</f>
        <v>102.84268342253215</v>
      </c>
      <c r="Y38" s="12">
        <f>('TUSD BE'!$Z$38+'TUSD BF'!$Z$38+'TUSD CVA'!$Z$38)*(1 - CUSTOS!$M$40)</f>
        <v>0</v>
      </c>
      <c r="Z38" s="12">
        <f>('TUSD BE'!$AA$38+'TUSD BF'!$AA$38+'TUSD CVA'!$AA$38)*(1 - CUSTOS!$M$40)</f>
        <v>0</v>
      </c>
      <c r="AA38" s="12">
        <f>('TUSD BE'!$AC$38+'TUSD BF'!$AC$38+'TUSD CVA'!$AC$38)*(1 - CUSTOS!$M$40)</f>
        <v>357.68291058862837</v>
      </c>
      <c r="AB38" s="12">
        <f ca="1">('TUSD BE'!$AE$38+'TUSD BF'!$AE$38+'TUSD CVA'!$AE$38)*(1 - CUSTOS!$M$40)</f>
        <v>-14.116726588070337</v>
      </c>
      <c r="AC38" s="12">
        <f ca="1">('TUSD BE'!$AF$38+'TUSD BF'!$AF$38+'TUSD CVA'!$AF$38)*(1 - CUSTOS!$M$40)</f>
        <v>0</v>
      </c>
      <c r="AD38" s="12">
        <f>('TUSD BE'!$AH$38+'TUSD BF'!$AH$38+'TUSD CVA'!$AH$38)*(1 - CUSTOS!$M$40)</f>
        <v>12.525082518049224</v>
      </c>
      <c r="AE38" s="12">
        <f>('TUSD BE'!$AI$38+'TUSD BF'!$AI$38+'TUSD CVA'!$AI$38)*(1 - CUSTOS!$M$40)</f>
        <v>0</v>
      </c>
      <c r="AF38" s="12">
        <f ca="1">('TUSD BE'!$AJ$38+'TUSD BF'!$AJ$38+'TUSD CVA'!$AJ$38)*(1 - CUSTOS!$M$40)</f>
        <v>0</v>
      </c>
      <c r="AG38" s="12">
        <f ca="1">('TUSD BE'!$AK$38+'TUSD BF'!$AK$38+'TUSD CVA'!$AK$38)*(1 - CUSTOS!$M$40)</f>
        <v>0</v>
      </c>
      <c r="AI38" s="12">
        <v>0</v>
      </c>
      <c r="AJ38" s="12">
        <v>0.39699149714441601</v>
      </c>
      <c r="AK38" s="12">
        <v>0</v>
      </c>
      <c r="AL38" s="12">
        <v>0</v>
      </c>
      <c r="AM38" s="12">
        <v>0</v>
      </c>
      <c r="AN38" s="12">
        <v>46.751557961454097</v>
      </c>
      <c r="AO38" s="12">
        <v>7.3356006426249802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110.35284944772501</v>
      </c>
      <c r="AV38" s="12">
        <v>0</v>
      </c>
      <c r="AW38" s="12">
        <v>0</v>
      </c>
      <c r="AX38" s="12">
        <v>275.96223523056898</v>
      </c>
      <c r="AY38" s="12">
        <v>0</v>
      </c>
      <c r="AZ38" s="12">
        <v>0</v>
      </c>
      <c r="BA38" s="12">
        <v>1.3798889529073599</v>
      </c>
      <c r="BB38" s="12">
        <v>0</v>
      </c>
      <c r="BC38" s="12">
        <v>0</v>
      </c>
      <c r="BD38" s="12">
        <v>0</v>
      </c>
    </row>
    <row r="39" spans="1:56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>
        <f>('TUSD BE'!$L$39+'TUSD BF'!$L$39+'TUSD CVA'!$L$39)*(1 - CUSTOS!$M$40)</f>
        <v>0</v>
      </c>
      <c r="M39" s="12">
        <f>('TUSD BE'!$M$39+'TUSD BF'!$M$39+'TUSD CVA'!$M$39)*(1 - CUSTOS!$M$40)</f>
        <v>0.54469202672714456</v>
      </c>
      <c r="N39" s="12">
        <f ca="1">('TUSD BE'!$N$39+'TUSD BF'!$N$39+'TUSD CVA'!$N$39)*(1 - CUSTOS!$M$40)</f>
        <v>0</v>
      </c>
      <c r="O39" s="12">
        <f>('TUSD BE'!$O$39+'TUSD BF'!$O$39+'TUSD CVA'!$O$39)*(1 - CUSTOS!$M$40)</f>
        <v>0</v>
      </c>
      <c r="P39" s="12">
        <f>('TUSD BE'!$P$39+'TUSD BF'!$P$39+'TUSD CVA'!$P$39)*(1 - CUSTOS!$M$40)</f>
        <v>0</v>
      </c>
      <c r="Q39" s="12">
        <f>('TUSD BE'!$Q$39+'TUSD BF'!$Q$39+'TUSD CVA'!$Q$39)*(1 - CUSTOS!$M$40)</f>
        <v>81.651381479222053</v>
      </c>
      <c r="R39" s="12">
        <f>('TUSD BE'!$R$39+'TUSD BF'!$R$39+'TUSD CVA'!$R$39)*(1 - CUSTOS!$M$40)</f>
        <v>12.908241015463572</v>
      </c>
      <c r="S39" s="12">
        <f>('TUSD BE'!$S$39+'TUSD BF'!$S$39+'TUSD CVA'!$S$39)*(1 - CUSTOS!$M$40)</f>
        <v>0</v>
      </c>
      <c r="T39" s="12">
        <f>('TUSD BE'!$U$39+'TUSD BF'!$U$39+'TUSD CVA'!$U$39)*(1 - CUSTOS!$M$40)</f>
        <v>0</v>
      </c>
      <c r="U39" s="12">
        <f>('TUSD BE'!$V$39+'TUSD BF'!$V$39+'TUSD CVA'!$V$39)*(1 - CUSTOS!$M$40)</f>
        <v>0</v>
      </c>
      <c r="V39" s="12">
        <f>('TUSD BE'!$W$39+'TUSD BF'!$W$39+'TUSD CVA'!$W$39)*(1 - CUSTOS!$M$40)</f>
        <v>0</v>
      </c>
      <c r="W39" s="12">
        <f>('TUSD BE'!$X$39+'TUSD BF'!$X$39+'TUSD CVA'!$X$39)*(1 - CUSTOS!$M$40)</f>
        <v>0</v>
      </c>
      <c r="X39" s="12">
        <f>('TUSD BE'!$Y$39+'TUSD BF'!$Y$39+'TUSD CVA'!$Y$39)*(1 - CUSTOS!$M$40)</f>
        <v>61.687858151892833</v>
      </c>
      <c r="Y39" s="12">
        <f>('TUSD BE'!$Z$39+'TUSD BF'!$Z$39+'TUSD CVA'!$Z$39)*(1 - CUSTOS!$M$40)</f>
        <v>0</v>
      </c>
      <c r="Z39" s="12">
        <f>('TUSD BE'!$AA$39+'TUSD BF'!$AA$39+'TUSD CVA'!$AA$39)*(1 - CUSTOS!$M$40)</f>
        <v>0</v>
      </c>
      <c r="AA39" s="12">
        <f>('TUSD BE'!$AC$39+'TUSD BF'!$AC$39+'TUSD CVA'!$AC$39)*(1 - CUSTOS!$M$40)</f>
        <v>214.60980813770917</v>
      </c>
      <c r="AB39" s="12">
        <f ca="1">('TUSD BE'!$AE$39+'TUSD BF'!$AE$39+'TUSD CVA'!$AE$39)*(1 - CUSTOS!$M$40)</f>
        <v>-9.5527570056817837</v>
      </c>
      <c r="AC39" s="12">
        <f ca="1">('TUSD BE'!$AF$39+'TUSD BF'!$AF$39+'TUSD CVA'!$AF$39)*(1 - CUSTOS!$M$40)</f>
        <v>0</v>
      </c>
      <c r="AD39" s="12">
        <f>('TUSD BE'!$AH$39+'TUSD BF'!$AH$39+'TUSD CVA'!$AH$39)*(1 - CUSTOS!$M$40)</f>
        <v>12.525082518049224</v>
      </c>
      <c r="AE39" s="12">
        <f>('TUSD BE'!$AI$39+'TUSD BF'!$AI$39+'TUSD CVA'!$AI$39)*(1 - CUSTOS!$M$40)</f>
        <v>0</v>
      </c>
      <c r="AF39" s="12">
        <f ca="1">('TUSD BE'!$AJ$39+'TUSD BF'!$AJ$39+'TUSD CVA'!$AJ$39)*(1 - CUSTOS!$M$40)</f>
        <v>0</v>
      </c>
      <c r="AG39" s="12">
        <f ca="1">('TUSD BE'!$AK$39+'TUSD BF'!$AK$39+'TUSD CVA'!$AK$39)*(1 - CUSTOS!$M$40)</f>
        <v>0</v>
      </c>
      <c r="AI39" s="12">
        <v>0</v>
      </c>
      <c r="AJ39" s="12">
        <v>0.39699149714441601</v>
      </c>
      <c r="AK39" s="12">
        <v>0</v>
      </c>
      <c r="AL39" s="12">
        <v>0</v>
      </c>
      <c r="AM39" s="12">
        <v>0</v>
      </c>
      <c r="AN39" s="12">
        <v>46.751557961454097</v>
      </c>
      <c r="AO39" s="12">
        <v>7.3356006426249802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66.208071606714995</v>
      </c>
      <c r="AV39" s="12">
        <v>0</v>
      </c>
      <c r="AW39" s="12">
        <v>0</v>
      </c>
      <c r="AX39" s="12">
        <v>165.57727821619201</v>
      </c>
      <c r="AY39" s="12">
        <v>0</v>
      </c>
      <c r="AZ39" s="12">
        <v>0</v>
      </c>
      <c r="BA39" s="12">
        <v>1.3798889529073599</v>
      </c>
      <c r="BB39" s="12">
        <v>0</v>
      </c>
      <c r="BC39" s="12">
        <v>0</v>
      </c>
      <c r="BD39" s="12">
        <v>0</v>
      </c>
    </row>
    <row r="40" spans="1:56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>
        <f>('TUSD BE'!$L$40+'TUSD BF'!$L$40+'TUSD CVA'!$L$40)*(1 - CUSTOS!$M$40)</f>
        <v>0</v>
      </c>
      <c r="M40" s="12">
        <f>('TUSD BE'!$M$40+'TUSD BF'!$M$40+'TUSD CVA'!$M$40)*(1 - CUSTOS!$M$40)</f>
        <v>0.54469202672714456</v>
      </c>
      <c r="N40" s="12">
        <f ca="1">('TUSD BE'!$N$40+'TUSD BF'!$N$40+'TUSD CVA'!$N$40)*(1 - CUSTOS!$M$40)</f>
        <v>0</v>
      </c>
      <c r="O40" s="12">
        <f>('TUSD BE'!$O$40+'TUSD BF'!$O$40+'TUSD CVA'!$O$40)*(1 - CUSTOS!$M$40)</f>
        <v>0</v>
      </c>
      <c r="P40" s="12">
        <f>('TUSD BE'!$P$40+'TUSD BF'!$P$40+'TUSD CVA'!$P$40)*(1 - CUSTOS!$M$40)</f>
        <v>0</v>
      </c>
      <c r="Q40" s="12">
        <f>('TUSD BE'!$Q$40+'TUSD BF'!$Q$40+'TUSD CVA'!$Q$40)*(1 - CUSTOS!$M$40)</f>
        <v>81.651381479222053</v>
      </c>
      <c r="R40" s="12">
        <f>('TUSD BE'!$R$40+'TUSD BF'!$R$40+'TUSD CVA'!$R$40)*(1 - CUSTOS!$M$40)</f>
        <v>12.908241015463572</v>
      </c>
      <c r="S40" s="12">
        <f>('TUSD BE'!$S$40+'TUSD BF'!$S$40+'TUSD CVA'!$S$40)*(1 - CUSTOS!$M$40)</f>
        <v>0</v>
      </c>
      <c r="T40" s="12">
        <f>('TUSD BE'!$U$40+'TUSD BF'!$U$40+'TUSD CVA'!$U$40)*(1 - CUSTOS!$M$40)</f>
        <v>0</v>
      </c>
      <c r="U40" s="12">
        <f>('TUSD BE'!$V$40+'TUSD BF'!$V$40+'TUSD CVA'!$V$40)*(1 - CUSTOS!$M$40)</f>
        <v>0</v>
      </c>
      <c r="V40" s="12">
        <f>('TUSD BE'!$W$40+'TUSD BF'!$W$40+'TUSD CVA'!$W$40)*(1 - CUSTOS!$M$40)</f>
        <v>0</v>
      </c>
      <c r="W40" s="12">
        <f>('TUSD BE'!$X$40+'TUSD BF'!$X$40+'TUSD CVA'!$X$40)*(1 - CUSTOS!$M$40)</f>
        <v>0</v>
      </c>
      <c r="X40" s="12">
        <f>('TUSD BE'!$Y$40+'TUSD BF'!$Y$40+'TUSD CVA'!$Y$40)*(1 - CUSTOS!$M$40)</f>
        <v>20.57741263531965</v>
      </c>
      <c r="Y40" s="12">
        <f>('TUSD BE'!$Z$40+'TUSD BF'!$Z$40+'TUSD CVA'!$Z$40)*(1 - CUSTOS!$M$40)</f>
        <v>0</v>
      </c>
      <c r="Z40" s="12">
        <f>('TUSD BE'!$AA$40+'TUSD BF'!$AA$40+'TUSD CVA'!$AA$40)*(1 - CUSTOS!$M$40)</f>
        <v>0</v>
      </c>
      <c r="AA40" s="12">
        <f>('TUSD BE'!$AC$40+'TUSD BF'!$AC$40+'TUSD CVA'!$AC$40)*(1 - CUSTOS!$M$40)</f>
        <v>71.536602712569717</v>
      </c>
      <c r="AB40" s="12">
        <f ca="1">('TUSD BE'!$AE$40+'TUSD BF'!$AE$40+'TUSD CVA'!$AE$40)*(1 - CUSTOS!$M$40)</f>
        <v>-4.9898596716990502</v>
      </c>
      <c r="AC40" s="12">
        <f ca="1">('TUSD BE'!$AF$40+'TUSD BF'!$AF$40+'TUSD CVA'!$AF$40)*(1 - CUSTOS!$M$40)</f>
        <v>0</v>
      </c>
      <c r="AD40" s="12">
        <f>('TUSD BE'!$AH$40+'TUSD BF'!$AH$40+'TUSD CVA'!$AH$40)*(1 - CUSTOS!$M$40)</f>
        <v>12.525082518049224</v>
      </c>
      <c r="AE40" s="12">
        <f>('TUSD BE'!$AI$40+'TUSD BF'!$AI$40+'TUSD CVA'!$AI$40)*(1 - CUSTOS!$M$40)</f>
        <v>0</v>
      </c>
      <c r="AF40" s="12">
        <f ca="1">('TUSD BE'!$AJ$40+'TUSD BF'!$AJ$40+'TUSD CVA'!$AJ$40)*(1 - CUSTOS!$M$40)</f>
        <v>0</v>
      </c>
      <c r="AG40" s="12">
        <f ca="1">('TUSD BE'!$AK$40+'TUSD BF'!$AK$40+'TUSD CVA'!$AK$40)*(1 - CUSTOS!$M$40)</f>
        <v>0</v>
      </c>
      <c r="AI40" s="12">
        <v>0</v>
      </c>
      <c r="AJ40" s="12">
        <v>0.39699149714441601</v>
      </c>
      <c r="AK40" s="12">
        <v>0</v>
      </c>
      <c r="AL40" s="12">
        <v>0</v>
      </c>
      <c r="AM40" s="12">
        <v>0</v>
      </c>
      <c r="AN40" s="12">
        <v>46.751557961454097</v>
      </c>
      <c r="AO40" s="12">
        <v>7.3356006426249802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22.063207555706601</v>
      </c>
      <c r="AV40" s="12">
        <v>0</v>
      </c>
      <c r="AW40" s="12">
        <v>0</v>
      </c>
      <c r="AX40" s="12">
        <v>55.192399854501403</v>
      </c>
      <c r="AY40" s="12">
        <v>0</v>
      </c>
      <c r="AZ40" s="12">
        <v>0</v>
      </c>
      <c r="BA40" s="12">
        <v>1.3798889529073599</v>
      </c>
      <c r="BB40" s="12">
        <v>0</v>
      </c>
      <c r="BC40" s="12">
        <v>0</v>
      </c>
      <c r="BD40" s="12">
        <v>0</v>
      </c>
    </row>
    <row r="41" spans="1:56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>
        <f>('TUSD BE'!$L$41+'TUSD BF'!$L$41+'TUSD CVA'!$L$41)*(1 - CUSTOS!$M$40)</f>
        <v>0</v>
      </c>
      <c r="M41" s="12">
        <f>('TUSD BE'!$M$41+'TUSD BF'!$M$41+'TUSD CVA'!$M$41)*(1 - CUSTOS!$M$40)</f>
        <v>0.54469202672714456</v>
      </c>
      <c r="N41" s="12">
        <f ca="1">('TUSD BE'!$N$41+'TUSD BF'!$N$41+'TUSD CVA'!$N$41)*(1 - CUSTOS!$M$40)</f>
        <v>0</v>
      </c>
      <c r="O41" s="12">
        <f>('TUSD BE'!$O$41+'TUSD BF'!$O$41+'TUSD CVA'!$O$41)*(1 - CUSTOS!$M$40)</f>
        <v>0</v>
      </c>
      <c r="P41" s="12">
        <f>('TUSD BE'!$P$41+'TUSD BF'!$P$41+'TUSD CVA'!$P$41)*(1 - CUSTOS!$M$40)</f>
        <v>0</v>
      </c>
      <c r="Q41" s="12">
        <f>('TUSD BE'!$Q$41+'TUSD BF'!$Q$41+'TUSD CVA'!$Q$41)*(1 - CUSTOS!$M$40)</f>
        <v>81.651381479222053</v>
      </c>
      <c r="R41" s="12">
        <f>('TUSD BE'!$R$41+'TUSD BF'!$R$41+'TUSD CVA'!$R$41)*(1 - CUSTOS!$M$40)</f>
        <v>12.908241015463572</v>
      </c>
      <c r="S41" s="12">
        <f>('TUSD BE'!$S$41+'TUSD BF'!$S$41+'TUSD CVA'!$S$41)*(1 - CUSTOS!$M$40)</f>
        <v>0</v>
      </c>
      <c r="T41" s="12">
        <f>('TUSD BE'!$U$41+'TUSD BF'!$U$41+'TUSD CVA'!$U$41)*(1 - CUSTOS!$M$40)</f>
        <v>0</v>
      </c>
      <c r="U41" s="12">
        <f>('TUSD BE'!$V$41+'TUSD BF'!$V$41+'TUSD CVA'!$V$41)*(1 - CUSTOS!$M$40)</f>
        <v>0</v>
      </c>
      <c r="V41" s="12">
        <f>('TUSD BE'!$W$41+'TUSD BF'!$W$41+'TUSD CVA'!$W$41)*(1 - CUSTOS!$M$40)</f>
        <v>0</v>
      </c>
      <c r="W41" s="12">
        <f>('TUSD BE'!$X$41+'TUSD BF'!$X$41+'TUSD CVA'!$X$41)*(1 - CUSTOS!$M$40)</f>
        <v>0</v>
      </c>
      <c r="X41" s="12">
        <f>('TUSD BE'!$Y$41+'TUSD BF'!$Y$41+'TUSD CVA'!$Y$41)*(1 - CUSTOS!$M$40)</f>
        <v>34.867693444607056</v>
      </c>
      <c r="Y41" s="12">
        <f>('TUSD BE'!$Z$41+'TUSD BF'!$Z$41+'TUSD CVA'!$Z$41)*(1 - CUSTOS!$M$40)</f>
        <v>0</v>
      </c>
      <c r="Z41" s="12">
        <f>('TUSD BE'!$AA$41+'TUSD BF'!$AA$41+'TUSD CVA'!$AA$41)*(1 - CUSTOS!$M$40)</f>
        <v>0</v>
      </c>
      <c r="AA41" s="12">
        <f>('TUSD BE'!$AC$41+'TUSD BF'!$AC$41+'TUSD CVA'!$AC$41)*(1 - CUSTOS!$M$40)</f>
        <v>121.24843728602858</v>
      </c>
      <c r="AB41" s="12">
        <f ca="1">('TUSD BE'!$AE$41+'TUSD BF'!$AE$41+'TUSD CVA'!$AE$41)*(1 - CUSTOS!$M$40)</f>
        <v>-6.5754208817057469</v>
      </c>
      <c r="AC41" s="12">
        <f ca="1">('TUSD BE'!$AF$41+'TUSD BF'!$AF$41+'TUSD CVA'!$AF$41)*(1 - CUSTOS!$M$40)</f>
        <v>0</v>
      </c>
      <c r="AD41" s="12">
        <f>('TUSD BE'!$AH$41+'TUSD BF'!$AH$41+'TUSD CVA'!$AH$41)*(1 - CUSTOS!$M$40)</f>
        <v>12.525082518049224</v>
      </c>
      <c r="AE41" s="12">
        <f>('TUSD BE'!$AI$41+'TUSD BF'!$AI$41+'TUSD CVA'!$AI$41)*(1 - CUSTOS!$M$40)</f>
        <v>0</v>
      </c>
      <c r="AF41" s="12">
        <f ca="1">('TUSD BE'!$AJ$41+'TUSD BF'!$AJ$41+'TUSD CVA'!$AJ$41)*(1 - CUSTOS!$M$40)</f>
        <v>0</v>
      </c>
      <c r="AG41" s="12">
        <f ca="1">('TUSD BE'!$AK$41+'TUSD BF'!$AK$41+'TUSD CVA'!$AK$41)*(1 - CUSTOS!$M$40)</f>
        <v>0</v>
      </c>
      <c r="AI41" s="12">
        <v>0</v>
      </c>
      <c r="AJ41" s="12">
        <v>0.39699149714441601</v>
      </c>
      <c r="AK41" s="12">
        <v>0</v>
      </c>
      <c r="AL41" s="12">
        <v>0</v>
      </c>
      <c r="AM41" s="12">
        <v>0</v>
      </c>
      <c r="AN41" s="12">
        <v>46.751557961454097</v>
      </c>
      <c r="AO41" s="12">
        <v>7.3356006426249802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37.388845129304798</v>
      </c>
      <c r="AV41" s="12">
        <v>0</v>
      </c>
      <c r="AW41" s="12">
        <v>0</v>
      </c>
      <c r="AX41" s="12">
        <v>93.546517750949405</v>
      </c>
      <c r="AY41" s="12">
        <v>0</v>
      </c>
      <c r="AZ41" s="12">
        <v>0</v>
      </c>
      <c r="BA41" s="12">
        <v>1.3798889529073599</v>
      </c>
      <c r="BB41" s="12">
        <v>0</v>
      </c>
      <c r="BC41" s="12">
        <v>0</v>
      </c>
      <c r="BD41" s="12">
        <v>0</v>
      </c>
    </row>
    <row r="42" spans="1:56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>
        <f>('TUSD BE'!$L$42+'TUSD BF'!$L$42+'TUSD CVA'!$L$42)*(1 - CUSTOS!$M$38)</f>
        <v>0</v>
      </c>
      <c r="M42" s="12">
        <f>('TUSD BE'!$M$42+'TUSD BF'!$M$42+'TUSD CVA'!$M$42)*(1 - CUSTOS!$M$38)</f>
        <v>0.55653315774295209</v>
      </c>
      <c r="N42" s="12">
        <f ca="1">('TUSD BE'!$N$42+'TUSD BF'!$N$42+'TUSD CVA'!$N$42)*(1 - CUSTOS!$M$38)</f>
        <v>0</v>
      </c>
      <c r="O42" s="12">
        <f>('TUSD BE'!$O$42+'TUSD BF'!$O$42+'TUSD CVA'!$O$42)*(1 - CUSTOS!$M$38)</f>
        <v>0</v>
      </c>
      <c r="P42" s="12">
        <f>('TUSD BE'!$P$42+'TUSD BF'!$P$42+'TUSD CVA'!$P$42)*(1 - CUSTOS!$M$38)</f>
        <v>0</v>
      </c>
      <c r="Q42" s="12">
        <f>('TUSD BE'!$Q$42+'TUSD BF'!$Q$42+'TUSD CVA'!$Q$42)*(1 - CUSTOS!$M$38)</f>
        <v>83.426411511379058</v>
      </c>
      <c r="R42" s="12">
        <f>('TUSD BE'!$R$42+'TUSD BF'!$R$42+'TUSD CVA'!$R$42)*(1 - CUSTOS!$M$38)</f>
        <v>13.188854950582344</v>
      </c>
      <c r="S42" s="12">
        <f>('TUSD BE'!$S$42+'TUSD BF'!$S$42+'TUSD CVA'!$S$42)*(1 - CUSTOS!$M$38)</f>
        <v>0</v>
      </c>
      <c r="T42" s="12">
        <f>('TUSD BE'!$U$42+'TUSD BF'!$U$42+'TUSD CVA'!$U$42)*(1 - CUSTOS!$M$38)</f>
        <v>0</v>
      </c>
      <c r="U42" s="12">
        <f>('TUSD BE'!$V$42+'TUSD BF'!$V$42+'TUSD CVA'!$V$42)*(1 - CUSTOS!$M$38)</f>
        <v>0</v>
      </c>
      <c r="V42" s="12">
        <f>('TUSD BE'!$W$42+'TUSD BF'!$W$42+'TUSD CVA'!$W$42)*(1 - CUSTOS!$M$38)</f>
        <v>0</v>
      </c>
      <c r="W42" s="12">
        <f>('TUSD BE'!$X$42+'TUSD BF'!$X$42+'TUSD CVA'!$X$42)*(1 - CUSTOS!$M$38)</f>
        <v>0</v>
      </c>
      <c r="X42" s="12">
        <f>('TUSD BE'!$Y$42+'TUSD BF'!$Y$42+'TUSD CVA'!$Y$42)*(1 - CUSTOS!$M$38)</f>
        <v>35.625686780359381</v>
      </c>
      <c r="Y42" s="12">
        <f>('TUSD BE'!$Z$42+'TUSD BF'!$Z$42+'TUSD CVA'!$Z$42)*(1 - CUSTOS!$M$38)</f>
        <v>0</v>
      </c>
      <c r="Z42" s="12">
        <f>('TUSD BE'!$AA$42+'TUSD BF'!$AA$42+'TUSD CVA'!$AA$42)*(1 - CUSTOS!$M$38)</f>
        <v>0</v>
      </c>
      <c r="AA42" s="12">
        <f>('TUSD BE'!$AC$42+'TUSD BF'!$AC$42+'TUSD CVA'!$AC$42)*(1 - CUSTOS!$M$38)</f>
        <v>123.8842728792031</v>
      </c>
      <c r="AB42" s="12">
        <f ca="1">('TUSD BE'!$AE$42+'TUSD BF'!$AE$42+'TUSD CVA'!$AE$42)*(1 - CUSTOS!$M$38)</f>
        <v>-6.7183648139167405</v>
      </c>
      <c r="AC42" s="12">
        <f ca="1">('TUSD BE'!$AF$42+'TUSD BF'!$AF$42+'TUSD CVA'!$AF$42)*(1 - CUSTOS!$M$38)</f>
        <v>0</v>
      </c>
      <c r="AD42" s="12">
        <f>('TUSD BE'!$AH$42+'TUSD BF'!$AH$42+'TUSD CVA'!$AH$42)*(1 - CUSTOS!$M$38)</f>
        <v>12.797366920615511</v>
      </c>
      <c r="AE42" s="12">
        <f>('TUSD BE'!$AI$42+'TUSD BF'!$AI$42+'TUSD CVA'!$AI$42)*(1 - CUSTOS!$M$38)</f>
        <v>0</v>
      </c>
      <c r="AF42" s="12">
        <f ca="1">('TUSD BE'!$AJ$42+'TUSD BF'!$AJ$42+'TUSD CVA'!$AJ$42)*(1 - CUSTOS!$M$38)</f>
        <v>0</v>
      </c>
      <c r="AG42" s="12">
        <f ca="1">('TUSD BE'!$AK$42+'TUSD BF'!$AK$42+'TUSD CVA'!$AK$42)*(1 - CUSTOS!$M$38)</f>
        <v>0</v>
      </c>
      <c r="AI42" s="12">
        <v>0</v>
      </c>
      <c r="AJ42" s="12">
        <v>0.41589585415129299</v>
      </c>
      <c r="AK42" s="12">
        <v>0</v>
      </c>
      <c r="AL42" s="12">
        <v>0</v>
      </c>
      <c r="AM42" s="12">
        <v>0</v>
      </c>
      <c r="AN42" s="12">
        <v>48.977822626285203</v>
      </c>
      <c r="AO42" s="12">
        <v>7.6849149589404604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39.169266325938302</v>
      </c>
      <c r="AV42" s="12">
        <v>0</v>
      </c>
      <c r="AW42" s="12">
        <v>0</v>
      </c>
      <c r="AX42" s="12">
        <v>98.001113834327896</v>
      </c>
      <c r="AY42" s="12">
        <v>0</v>
      </c>
      <c r="AZ42" s="12">
        <v>0</v>
      </c>
      <c r="BA42" s="12">
        <v>1.44559795066485</v>
      </c>
      <c r="BB42" s="12">
        <v>0</v>
      </c>
      <c r="BC42" s="12">
        <v>0</v>
      </c>
      <c r="BD42" s="12">
        <v>0</v>
      </c>
    </row>
    <row r="43" spans="1:56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>
        <f>('TUSD BE'!$L$43+'TUSD BF'!$L$43+'TUSD CVA'!$L$43)*(1 - CUSTOS!$M$39)</f>
        <v>0</v>
      </c>
      <c r="M43" s="12">
        <f>('TUSD BE'!$M$43+'TUSD BF'!$M$43+'TUSD CVA'!$M$43)*(1 - CUSTOS!$M$39)</f>
        <v>0.55653315774295209</v>
      </c>
      <c r="N43" s="12">
        <f ca="1">('TUSD BE'!$N$43+'TUSD BF'!$N$43+'TUSD CVA'!$N$43)*(1 - CUSTOS!$M$39)</f>
        <v>0</v>
      </c>
      <c r="O43" s="12">
        <f>('TUSD BE'!$O$43+'TUSD BF'!$O$43+'TUSD CVA'!$O$43)*(1 - CUSTOS!$M$39)</f>
        <v>0</v>
      </c>
      <c r="P43" s="12">
        <f>('TUSD BE'!$P$43+'TUSD BF'!$P$43+'TUSD CVA'!$P$43)*(1 - CUSTOS!$M$39)</f>
        <v>0</v>
      </c>
      <c r="Q43" s="12">
        <f>('TUSD BE'!$Q$43+'TUSD BF'!$Q$43+'TUSD CVA'!$Q$43)*(1 - CUSTOS!$M$39)</f>
        <v>83.426411511379058</v>
      </c>
      <c r="R43" s="12">
        <f>('TUSD BE'!$R$43+'TUSD BF'!$R$43+'TUSD CVA'!$R$43)*(1 - CUSTOS!$M$39)</f>
        <v>13.188854950582344</v>
      </c>
      <c r="S43" s="12">
        <f>('TUSD BE'!$S$43+'TUSD BF'!$S$43+'TUSD CVA'!$S$43)*(1 - CUSTOS!$M$39)</f>
        <v>0</v>
      </c>
      <c r="T43" s="12">
        <f>('TUSD BE'!$U$43+'TUSD BF'!$U$43+'TUSD CVA'!$U$43)*(1 - CUSTOS!$M$39)</f>
        <v>0</v>
      </c>
      <c r="U43" s="12">
        <f>('TUSD BE'!$V$43+'TUSD BF'!$V$43+'TUSD CVA'!$V$43)*(1 - CUSTOS!$M$39)</f>
        <v>0</v>
      </c>
      <c r="V43" s="12">
        <f>('TUSD BE'!$W$43+'TUSD BF'!$W$43+'TUSD CVA'!$W$43)*(1 - CUSTOS!$M$39)</f>
        <v>0</v>
      </c>
      <c r="W43" s="12">
        <f>('TUSD BE'!$X$43+'TUSD BF'!$X$43+'TUSD CVA'!$X$43)*(1 - CUSTOS!$M$39)</f>
        <v>0</v>
      </c>
      <c r="X43" s="12">
        <f>('TUSD BE'!$Y$43+'TUSD BF'!$Y$43+'TUSD CVA'!$Y$43)*(1 - CUSTOS!$M$39)</f>
        <v>35.625686780359381</v>
      </c>
      <c r="Y43" s="12">
        <f>('TUSD BE'!$Z$43+'TUSD BF'!$Z$43+'TUSD CVA'!$Z$43)*(1 - CUSTOS!$M$39)</f>
        <v>0</v>
      </c>
      <c r="Z43" s="12">
        <f>('TUSD BE'!$AA$43+'TUSD BF'!$AA$43+'TUSD CVA'!$AA$43)*(1 - CUSTOS!$M$39)</f>
        <v>0</v>
      </c>
      <c r="AA43" s="12">
        <f>('TUSD BE'!$AC$43+'TUSD BF'!$AC$43+'TUSD CVA'!$AC$43)*(1 - CUSTOS!$M$39)</f>
        <v>123.8842728792031</v>
      </c>
      <c r="AB43" s="12">
        <f ca="1">('TUSD BE'!$AE$43+'TUSD BF'!$AE$43+'TUSD CVA'!$AE$43)*(1 - CUSTOS!$M$39)</f>
        <v>-6.7183648139167405</v>
      </c>
      <c r="AC43" s="12">
        <f ca="1">('TUSD BE'!$AF$43+'TUSD BF'!$AF$43+'TUSD CVA'!$AF$43)*(1 - CUSTOS!$M$39)</f>
        <v>0</v>
      </c>
      <c r="AD43" s="12">
        <f>('TUSD BE'!$AH$43+'TUSD BF'!$AH$43+'TUSD CVA'!$AH$43)*(1 - CUSTOS!$M$39)</f>
        <v>12.797366920615511</v>
      </c>
      <c r="AE43" s="12">
        <f>('TUSD BE'!$AI$43+'TUSD BF'!$AI$43+'TUSD CVA'!$AI$43)*(1 - CUSTOS!$M$39)</f>
        <v>0</v>
      </c>
      <c r="AF43" s="12">
        <f ca="1">('TUSD BE'!$AJ$43+'TUSD BF'!$AJ$43+'TUSD CVA'!$AJ$43)*(1 - CUSTOS!$M$39)</f>
        <v>0</v>
      </c>
      <c r="AG43" s="12">
        <f ca="1">('TUSD BE'!$AK$43+'TUSD BF'!$AK$43+'TUSD CVA'!$AK$43)*(1 - CUSTOS!$M$39)</f>
        <v>0</v>
      </c>
      <c r="AI43" s="12">
        <v>0</v>
      </c>
      <c r="AJ43" s="12">
        <v>0.41589585415129299</v>
      </c>
      <c r="AK43" s="12">
        <v>0</v>
      </c>
      <c r="AL43" s="12">
        <v>0</v>
      </c>
      <c r="AM43" s="12">
        <v>0</v>
      </c>
      <c r="AN43" s="12">
        <v>48.977822626285203</v>
      </c>
      <c r="AO43" s="12">
        <v>7.6849149589404604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39.169266325938302</v>
      </c>
      <c r="AV43" s="12">
        <v>0</v>
      </c>
      <c r="AW43" s="12">
        <v>0</v>
      </c>
      <c r="AX43" s="12">
        <v>98.001113834327896</v>
      </c>
      <c r="AY43" s="12">
        <v>0</v>
      </c>
      <c r="AZ43" s="12">
        <v>0</v>
      </c>
      <c r="BA43" s="12">
        <v>1.44559795066485</v>
      </c>
      <c r="BB43" s="12">
        <v>0</v>
      </c>
      <c r="BC43" s="12">
        <v>0</v>
      </c>
      <c r="BD43" s="12">
        <v>0</v>
      </c>
    </row>
    <row r="44" spans="1:56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>
        <f>('TUSD BE'!$L$44+'TUSD BF'!$L$44+'TUSD CVA'!$L$44)*(1 - CUSTOS!$M$40)</f>
        <v>0</v>
      </c>
      <c r="M44" s="12">
        <f>('TUSD BE'!$M$44+'TUSD BF'!$M$44+'TUSD CVA'!$M$44)*(1 - CUSTOS!$M$40)</f>
        <v>0.54469202672714456</v>
      </c>
      <c r="N44" s="12">
        <f ca="1">('TUSD BE'!$N$44+'TUSD BF'!$N$44+'TUSD CVA'!$N$44)*(1 - CUSTOS!$M$40)</f>
        <v>0</v>
      </c>
      <c r="O44" s="12">
        <f>('TUSD BE'!$O$44+'TUSD BF'!$O$44+'TUSD CVA'!$O$44)*(1 - CUSTOS!$M$40)</f>
        <v>0</v>
      </c>
      <c r="P44" s="12">
        <f>('TUSD BE'!$P$44+'TUSD BF'!$P$44+'TUSD CVA'!$P$44)*(1 - CUSTOS!$M$40)</f>
        <v>0</v>
      </c>
      <c r="Q44" s="12">
        <f>('TUSD BE'!$Q$44+'TUSD BF'!$Q$44+'TUSD CVA'!$Q$44)*(1 - CUSTOS!$M$40)</f>
        <v>81.651381479222053</v>
      </c>
      <c r="R44" s="12">
        <f>('TUSD BE'!$R$44+'TUSD BF'!$R$44+'TUSD CVA'!$R$44)*(1 - CUSTOS!$M$40)</f>
        <v>12.908241015463572</v>
      </c>
      <c r="S44" s="12">
        <f>('TUSD BE'!$S$44+'TUSD BF'!$S$44+'TUSD CVA'!$S$44)*(1 - CUSTOS!$M$40)</f>
        <v>0</v>
      </c>
      <c r="T44" s="12">
        <f>('TUSD BE'!$U$44+'TUSD BF'!$U$44+'TUSD CVA'!$U$44)*(1 - CUSTOS!$M$40)</f>
        <v>0</v>
      </c>
      <c r="U44" s="12">
        <f>('TUSD BE'!$V$44+'TUSD BF'!$V$44+'TUSD CVA'!$V$44)*(1 - CUSTOS!$M$40)</f>
        <v>0</v>
      </c>
      <c r="V44" s="12">
        <f>('TUSD BE'!$W$44+'TUSD BF'!$W$44+'TUSD CVA'!$W$44)*(1 - CUSTOS!$M$40)</f>
        <v>0</v>
      </c>
      <c r="W44" s="12">
        <f>('TUSD BE'!$X$44+'TUSD BF'!$X$44+'TUSD CVA'!$X$44)*(1 - CUSTOS!$M$40)</f>
        <v>0</v>
      </c>
      <c r="X44" s="12">
        <f>('TUSD BE'!$Y$44+'TUSD BF'!$Y$44+'TUSD CVA'!$Y$44)*(1 - CUSTOS!$M$40)</f>
        <v>34.867693444607056</v>
      </c>
      <c r="Y44" s="12">
        <f>('TUSD BE'!$Z$44+'TUSD BF'!$Z$44+'TUSD CVA'!$Z$44)*(1 - CUSTOS!$M$40)</f>
        <v>0</v>
      </c>
      <c r="Z44" s="12">
        <f>('TUSD BE'!$AA$44+'TUSD BF'!$AA$44+'TUSD CVA'!$AA$44)*(1 - CUSTOS!$M$40)</f>
        <v>0</v>
      </c>
      <c r="AA44" s="12">
        <f>('TUSD BE'!$AC$44+'TUSD BF'!$AC$44+'TUSD CVA'!$AC$44)*(1 - CUSTOS!$M$40)</f>
        <v>121.24843728602858</v>
      </c>
      <c r="AB44" s="12">
        <f ca="1">('TUSD BE'!$AE$44+'TUSD BF'!$AE$44+'TUSD CVA'!$AE$44)*(1 - CUSTOS!$M$40)</f>
        <v>-6.5754208817057469</v>
      </c>
      <c r="AC44" s="12">
        <f ca="1">('TUSD BE'!$AF$44+'TUSD BF'!$AF$44+'TUSD CVA'!$AF$44)*(1 - CUSTOS!$M$40)</f>
        <v>0</v>
      </c>
      <c r="AD44" s="12">
        <f>('TUSD BE'!$AH$44+'TUSD BF'!$AH$44+'TUSD CVA'!$AH$44)*(1 - CUSTOS!$M$40)</f>
        <v>12.525082518049224</v>
      </c>
      <c r="AE44" s="12">
        <f>('TUSD BE'!$AI$44+'TUSD BF'!$AI$44+'TUSD CVA'!$AI$44)*(1 - CUSTOS!$M$40)</f>
        <v>0</v>
      </c>
      <c r="AF44" s="12">
        <f ca="1">('TUSD BE'!$AJ$44+'TUSD BF'!$AJ$44+'TUSD CVA'!$AJ$44)*(1 - CUSTOS!$M$40)</f>
        <v>0</v>
      </c>
      <c r="AG44" s="12">
        <f ca="1">('TUSD BE'!$AK$44+'TUSD BF'!$AK$44+'TUSD CVA'!$AK$44)*(1 - CUSTOS!$M$40)</f>
        <v>0</v>
      </c>
      <c r="AI44" s="12">
        <v>0</v>
      </c>
      <c r="AJ44" s="12">
        <v>0.39699149714441601</v>
      </c>
      <c r="AK44" s="12">
        <v>0</v>
      </c>
      <c r="AL44" s="12">
        <v>0</v>
      </c>
      <c r="AM44" s="12">
        <v>0</v>
      </c>
      <c r="AN44" s="12">
        <v>46.751557961454097</v>
      </c>
      <c r="AO44" s="12">
        <v>7.3356006426249802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37.388845129304798</v>
      </c>
      <c r="AV44" s="12">
        <v>0</v>
      </c>
      <c r="AW44" s="12">
        <v>0</v>
      </c>
      <c r="AX44" s="12">
        <v>93.546517750949405</v>
      </c>
      <c r="AY44" s="12">
        <v>0</v>
      </c>
      <c r="AZ44" s="12">
        <v>0</v>
      </c>
      <c r="BA44" s="12">
        <v>1.3798889529073599</v>
      </c>
      <c r="BB44" s="12">
        <v>0</v>
      </c>
      <c r="BC44" s="12">
        <v>0</v>
      </c>
      <c r="BD44" s="12">
        <v>0</v>
      </c>
    </row>
    <row r="45" spans="1:56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>
        <f>('TUSD BE'!$L$45+'TUSD BF'!$L$45+'TUSD CVA'!$L$45)*1</f>
        <v>0</v>
      </c>
      <c r="M45" s="12">
        <f>('TUSD BE'!$M$45+'TUSD BF'!$M$45+'TUSD CVA'!$M$45)*1</f>
        <v>0.59205655079037456</v>
      </c>
      <c r="N45" s="12">
        <f ca="1">('TUSD BE'!$N$45+'TUSD BF'!$N$45+'TUSD CVA'!$N$45)*1</f>
        <v>0</v>
      </c>
      <c r="O45" s="12">
        <f>('TUSD BE'!$O$45+'TUSD BF'!$O$45+'TUSD CVA'!$O$45)*1</f>
        <v>0</v>
      </c>
      <c r="P45" s="12">
        <f>('TUSD BE'!$P$45+'TUSD BF'!$P$45+'TUSD CVA'!$P$45)*1</f>
        <v>0</v>
      </c>
      <c r="Q45" s="12">
        <f>('TUSD BE'!$Q$45+'TUSD BF'!$Q$45+'TUSD CVA'!$Q$45)*1</f>
        <v>88.751501607850059</v>
      </c>
      <c r="R45" s="12">
        <f>('TUSD BE'!$R$45+'TUSD BF'!$R$45+'TUSD CVA'!$R$45)*1</f>
        <v>14.030696755938665</v>
      </c>
      <c r="S45" s="12">
        <f>('TUSD BE'!$S$45+'TUSD BF'!$S$45+'TUSD CVA'!$S$45)*1</f>
        <v>0</v>
      </c>
      <c r="T45" s="12">
        <f>('TUSD BE'!$U$45+'TUSD BF'!$U$45+'TUSD CVA'!$U$45)*1</f>
        <v>0</v>
      </c>
      <c r="U45" s="12">
        <f>('TUSD BE'!$V$45+'TUSD BF'!$V$45+'TUSD CVA'!$V$45)*1</f>
        <v>0</v>
      </c>
      <c r="V45" s="12">
        <f>('TUSD BE'!$W$45+'TUSD BF'!$W$45+'TUSD CVA'!$W$45)*1</f>
        <v>0</v>
      </c>
      <c r="W45" s="12">
        <f>('TUSD BE'!$X$45+'TUSD BF'!$X$45+'TUSD CVA'!$X$45)*1</f>
        <v>0</v>
      </c>
      <c r="X45" s="12">
        <f>('TUSD BE'!$Y$45+'TUSD BF'!$Y$45+'TUSD CVA'!$Y$45)*1</f>
        <v>128.82992376002645</v>
      </c>
      <c r="Y45" s="12">
        <f>('TUSD BE'!$Z$45+'TUSD BF'!$Z$45+'TUSD CVA'!$Z$45)*1</f>
        <v>0</v>
      </c>
      <c r="Z45" s="12">
        <f>('TUSD BE'!$AA$45+'TUSD BF'!$AA$45+'TUSD CVA'!$AA$45)*1</f>
        <v>0</v>
      </c>
      <c r="AA45" s="12">
        <f>('TUSD BE'!$AC$45+'TUSD BF'!$AC$45+'TUSD CVA'!$AC$45)*1</f>
        <v>448.09209561107093</v>
      </c>
      <c r="AB45" s="12">
        <f ca="1">('TUSD BE'!$AE$45+'TUSD BF'!$AE$45+'TUSD CVA'!$AE$45)*1</f>
        <v>-17.235750546752019</v>
      </c>
      <c r="AC45" s="12">
        <f ca="1">('TUSD BE'!$AF$45+'TUSD BF'!$AF$45+'TUSD CVA'!$AF$45)*1</f>
        <v>0</v>
      </c>
      <c r="AD45" s="12">
        <f>('TUSD BE'!$AH$45+'TUSD BF'!$AH$45+'TUSD CVA'!$AH$45)*1</f>
        <v>13.614220128314374</v>
      </c>
      <c r="AE45" s="12">
        <f>('TUSD BE'!$AI$45+'TUSD BF'!$AI$45+'TUSD CVA'!$AI$45)*1</f>
        <v>0</v>
      </c>
      <c r="AF45" s="12">
        <f ca="1">('TUSD BE'!$AJ$45+'TUSD BF'!$AJ$45+'TUSD CVA'!$AJ$45)*1</f>
        <v>0</v>
      </c>
      <c r="AG45" s="12">
        <f ca="1">('TUSD BE'!$AK$45+'TUSD BF'!$AK$45+'TUSD CVA'!$AK$45)*1</f>
        <v>0</v>
      </c>
      <c r="AI45" s="12">
        <v>0</v>
      </c>
      <c r="AJ45" s="12">
        <v>0.47260892517192399</v>
      </c>
      <c r="AK45" s="12">
        <v>0</v>
      </c>
      <c r="AL45" s="12">
        <v>0</v>
      </c>
      <c r="AM45" s="12">
        <v>0</v>
      </c>
      <c r="AN45" s="12">
        <v>55.656616620778699</v>
      </c>
      <c r="AO45" s="12">
        <v>8.7328579078868902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153.649821746393</v>
      </c>
      <c r="AV45" s="12">
        <v>0</v>
      </c>
      <c r="AW45" s="12">
        <v>0</v>
      </c>
      <c r="AX45" s="12">
        <v>384.20864065235901</v>
      </c>
      <c r="AY45" s="12">
        <v>0</v>
      </c>
      <c r="AZ45" s="12">
        <v>0</v>
      </c>
      <c r="BA45" s="12">
        <v>1.6427249439373299</v>
      </c>
      <c r="BB45" s="12">
        <v>0</v>
      </c>
      <c r="BC45" s="12">
        <v>0</v>
      </c>
      <c r="BD45" s="12">
        <v>0</v>
      </c>
    </row>
    <row r="46" spans="1:56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>
        <f>('TUSD BE'!$L$46+'TUSD BF'!$L$46+'TUSD CVA'!$L$46)*1</f>
        <v>0</v>
      </c>
      <c r="M46" s="12">
        <f>('TUSD BE'!$M$46+'TUSD BF'!$M$46+'TUSD CVA'!$M$46)*1</f>
        <v>0.59205655079037456</v>
      </c>
      <c r="N46" s="12">
        <f ca="1">('TUSD BE'!$N$46+'TUSD BF'!$N$46+'TUSD CVA'!$N$46)*1</f>
        <v>0</v>
      </c>
      <c r="O46" s="12">
        <f>('TUSD BE'!$O$46+'TUSD BF'!$O$46+'TUSD CVA'!$O$46)*1</f>
        <v>0</v>
      </c>
      <c r="P46" s="12">
        <f>('TUSD BE'!$P$46+'TUSD BF'!$P$46+'TUSD CVA'!$P$46)*1</f>
        <v>0</v>
      </c>
      <c r="Q46" s="12">
        <f>('TUSD BE'!$Q$46+'TUSD BF'!$Q$46+'TUSD CVA'!$Q$46)*1</f>
        <v>88.751501607850059</v>
      </c>
      <c r="R46" s="12">
        <f>('TUSD BE'!$R$46+'TUSD BF'!$R$46+'TUSD CVA'!$R$46)*1</f>
        <v>14.030696755938665</v>
      </c>
      <c r="S46" s="12">
        <f>('TUSD BE'!$S$46+'TUSD BF'!$S$46+'TUSD CVA'!$S$46)*1</f>
        <v>0</v>
      </c>
      <c r="T46" s="12">
        <f>('TUSD BE'!$U$46+'TUSD BF'!$U$46+'TUSD CVA'!$U$46)*1</f>
        <v>0</v>
      </c>
      <c r="U46" s="12">
        <f>('TUSD BE'!$V$46+'TUSD BF'!$V$46+'TUSD CVA'!$V$46)*1</f>
        <v>0</v>
      </c>
      <c r="V46" s="12">
        <f>('TUSD BE'!$W$46+'TUSD BF'!$W$46+'TUSD CVA'!$W$46)*1</f>
        <v>0</v>
      </c>
      <c r="W46" s="12">
        <f>('TUSD BE'!$X$46+'TUSD BF'!$X$46+'TUSD CVA'!$X$46)*1</f>
        <v>0</v>
      </c>
      <c r="X46" s="12">
        <f>('TUSD BE'!$Y$46+'TUSD BF'!$Y$46+'TUSD CVA'!$Y$46)*1</f>
        <v>77.294738331808176</v>
      </c>
      <c r="Y46" s="12">
        <f>('TUSD BE'!$Z$46+'TUSD BF'!$Z$46+'TUSD CVA'!$Z$46)*1</f>
        <v>0</v>
      </c>
      <c r="Z46" s="12">
        <f>('TUSD BE'!$AA$46+'TUSD BF'!$AA$46+'TUSD CVA'!$AA$46)*1</f>
        <v>0</v>
      </c>
      <c r="AA46" s="12">
        <f>('TUSD BE'!$AC$46+'TUSD BF'!$AC$46+'TUSD CVA'!$AC$46)*1</f>
        <v>268.8552797523426</v>
      </c>
      <c r="AB46" s="12">
        <f ca="1">('TUSD BE'!$AE$46+'TUSD BF'!$AE$46+'TUSD CVA'!$AE$46)*1</f>
        <v>-11.518709347410311</v>
      </c>
      <c r="AC46" s="12">
        <f ca="1">('TUSD BE'!$AF$46+'TUSD BF'!$AF$46+'TUSD CVA'!$AF$46)*1</f>
        <v>0</v>
      </c>
      <c r="AD46" s="12">
        <f>('TUSD BE'!$AH$46+'TUSD BF'!$AH$46+'TUSD CVA'!$AH$46)*1</f>
        <v>13.614220128314374</v>
      </c>
      <c r="AE46" s="12">
        <f>('TUSD BE'!$AI$46+'TUSD BF'!$AI$46+'TUSD CVA'!$AI$46)*1</f>
        <v>0</v>
      </c>
      <c r="AF46" s="12">
        <f ca="1">('TUSD BE'!$AJ$46+'TUSD BF'!$AJ$46+'TUSD CVA'!$AJ$46)*1</f>
        <v>0</v>
      </c>
      <c r="AG46" s="12">
        <f ca="1">('TUSD BE'!$AK$46+'TUSD BF'!$AK$46+'TUSD CVA'!$AK$46)*1</f>
        <v>0</v>
      </c>
      <c r="AI46" s="12">
        <v>0</v>
      </c>
      <c r="AJ46" s="12">
        <v>0.47260892517192399</v>
      </c>
      <c r="AK46" s="12">
        <v>0</v>
      </c>
      <c r="AL46" s="12">
        <v>0</v>
      </c>
      <c r="AM46" s="12">
        <v>0</v>
      </c>
      <c r="AN46" s="12">
        <v>55.656616620778699</v>
      </c>
      <c r="AO46" s="12">
        <v>8.7328579078868902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92.194100916790802</v>
      </c>
      <c r="AV46" s="12">
        <v>0</v>
      </c>
      <c r="AW46" s="12">
        <v>0</v>
      </c>
      <c r="AX46" s="12">
        <v>230.525221845076</v>
      </c>
      <c r="AY46" s="12">
        <v>0</v>
      </c>
      <c r="AZ46" s="12">
        <v>0</v>
      </c>
      <c r="BA46" s="12">
        <v>1.6427249439373299</v>
      </c>
      <c r="BB46" s="12">
        <v>0</v>
      </c>
      <c r="BC46" s="12">
        <v>0</v>
      </c>
      <c r="BD46" s="12">
        <v>0</v>
      </c>
    </row>
    <row r="47" spans="1:56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>
        <f>('TUSD BE'!$L$47+'TUSD BF'!$L$47+'TUSD CVA'!$L$47)*1</f>
        <v>0</v>
      </c>
      <c r="M47" s="12">
        <f>('TUSD BE'!$M$47+'TUSD BF'!$M$47+'TUSD CVA'!$M$47)*1</f>
        <v>0.59205655079037456</v>
      </c>
      <c r="N47" s="12">
        <f ca="1">('TUSD BE'!$N$47+'TUSD BF'!$N$47+'TUSD CVA'!$N$47)*1</f>
        <v>0</v>
      </c>
      <c r="O47" s="12">
        <f>('TUSD BE'!$O$47+'TUSD BF'!$O$47+'TUSD CVA'!$O$47)*1</f>
        <v>0</v>
      </c>
      <c r="P47" s="12">
        <f>('TUSD BE'!$P$47+'TUSD BF'!$P$47+'TUSD CVA'!$P$47)*1</f>
        <v>0</v>
      </c>
      <c r="Q47" s="12">
        <f>('TUSD BE'!$Q$47+'TUSD BF'!$Q$47+'TUSD CVA'!$Q$47)*1</f>
        <v>88.751501607850059</v>
      </c>
      <c r="R47" s="12">
        <f>('TUSD BE'!$R$47+'TUSD BF'!$R$47+'TUSD CVA'!$R$47)*1</f>
        <v>14.030696755938665</v>
      </c>
      <c r="S47" s="12">
        <f>('TUSD BE'!$S$47+'TUSD BF'!$S$47+'TUSD CVA'!$S$47)*1</f>
        <v>0</v>
      </c>
      <c r="T47" s="12">
        <f>('TUSD BE'!$U$47+'TUSD BF'!$U$47+'TUSD CVA'!$U$47)*1</f>
        <v>0</v>
      </c>
      <c r="U47" s="12">
        <f>('TUSD BE'!$V$47+'TUSD BF'!$V$47+'TUSD CVA'!$V$47)*1</f>
        <v>0</v>
      </c>
      <c r="V47" s="12">
        <f>('TUSD BE'!$W$47+'TUSD BF'!$W$47+'TUSD CVA'!$W$47)*1</f>
        <v>0</v>
      </c>
      <c r="W47" s="12">
        <f>('TUSD BE'!$X$47+'TUSD BF'!$X$47+'TUSD CVA'!$X$47)*1</f>
        <v>0</v>
      </c>
      <c r="X47" s="12">
        <f>('TUSD BE'!$Y$47+'TUSD BF'!$Y$47+'TUSD CVA'!$Y$47)*1</f>
        <v>25.775632524628357</v>
      </c>
      <c r="Y47" s="12">
        <f>('TUSD BE'!$Z$47+'TUSD BF'!$Z$47+'TUSD CVA'!$Z$47)*1</f>
        <v>0</v>
      </c>
      <c r="Z47" s="12">
        <f>('TUSD BE'!$AA$47+'TUSD BF'!$AA$47+'TUSD CVA'!$AA$47)*1</f>
        <v>0</v>
      </c>
      <c r="AA47" s="12">
        <f>('TUSD BE'!$AC$47+'TUSD BF'!$AC$47+'TUSD CVA'!$AC$47)*1</f>
        <v>89.61846389361429</v>
      </c>
      <c r="AB47" s="12">
        <f ca="1">('TUSD BE'!$AE$47+'TUSD BF'!$AE$47+'TUSD CVA'!$AE$47)*1</f>
        <v>-5.8020575741095746</v>
      </c>
      <c r="AC47" s="12">
        <f ca="1">('TUSD BE'!$AF$47+'TUSD BF'!$AF$47+'TUSD CVA'!$AF$47)*1</f>
        <v>0</v>
      </c>
      <c r="AD47" s="12">
        <f>('TUSD BE'!$AH$47+'TUSD BF'!$AH$47+'TUSD CVA'!$AH$47)*1</f>
        <v>13.614220128314374</v>
      </c>
      <c r="AE47" s="12">
        <f>('TUSD BE'!$AI$47+'TUSD BF'!$AI$47+'TUSD CVA'!$AI$47)*1</f>
        <v>0</v>
      </c>
      <c r="AF47" s="12">
        <f ca="1">('TUSD BE'!$AJ$47+'TUSD BF'!$AJ$47+'TUSD CVA'!$AJ$47)*1</f>
        <v>0</v>
      </c>
      <c r="AG47" s="12">
        <f ca="1">('TUSD BE'!$AK$47+'TUSD BF'!$AK$47+'TUSD CVA'!$AK$47)*1</f>
        <v>0</v>
      </c>
      <c r="AI47" s="12">
        <v>0</v>
      </c>
      <c r="AJ47" s="12">
        <v>0.47260892517192399</v>
      </c>
      <c r="AK47" s="12">
        <v>0</v>
      </c>
      <c r="AL47" s="12">
        <v>0</v>
      </c>
      <c r="AM47" s="12">
        <v>0</v>
      </c>
      <c r="AN47" s="12">
        <v>55.656616620778699</v>
      </c>
      <c r="AO47" s="12">
        <v>8.7328579078868902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30.716827587662099</v>
      </c>
      <c r="AV47" s="12">
        <v>0</v>
      </c>
      <c r="AW47" s="12">
        <v>0</v>
      </c>
      <c r="AX47" s="12">
        <v>76.841709403641403</v>
      </c>
      <c r="AY47" s="12">
        <v>0</v>
      </c>
      <c r="AZ47" s="12">
        <v>0</v>
      </c>
      <c r="BA47" s="12">
        <v>1.6427249439373299</v>
      </c>
      <c r="BB47" s="12">
        <v>0</v>
      </c>
      <c r="BC47" s="12">
        <v>0</v>
      </c>
      <c r="BD47" s="12">
        <v>0</v>
      </c>
    </row>
    <row r="48" spans="1:56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>
        <f>('TUSD BE'!$L$48+'TUSD BF'!$L$48+'TUSD CVA'!$L$48)*1</f>
        <v>0</v>
      </c>
      <c r="M48" s="12">
        <f>('TUSD BE'!$M$48+'TUSD BF'!$M$48+'TUSD CVA'!$M$48)*1</f>
        <v>0.59205655079037456</v>
      </c>
      <c r="N48" s="12">
        <f ca="1">('TUSD BE'!$N$48+'TUSD BF'!$N$48+'TUSD CVA'!$N$48)*1</f>
        <v>0</v>
      </c>
      <c r="O48" s="12">
        <f>('TUSD BE'!$O$48+'TUSD BF'!$O$48+'TUSD CVA'!$O$48)*1</f>
        <v>0</v>
      </c>
      <c r="P48" s="12">
        <f>('TUSD BE'!$P$48+'TUSD BF'!$P$48+'TUSD CVA'!$P$48)*1</f>
        <v>0</v>
      </c>
      <c r="Q48" s="12">
        <f>('TUSD BE'!$Q$48+'TUSD BF'!$Q$48+'TUSD CVA'!$Q$48)*1</f>
        <v>88.751501607850059</v>
      </c>
      <c r="R48" s="12">
        <f>('TUSD BE'!$R$48+'TUSD BF'!$R$48+'TUSD CVA'!$R$48)*1</f>
        <v>14.030696755938665</v>
      </c>
      <c r="S48" s="12">
        <f>('TUSD BE'!$S$48+'TUSD BF'!$S$48+'TUSD CVA'!$S$48)*1</f>
        <v>0</v>
      </c>
      <c r="T48" s="12">
        <f>('TUSD BE'!$U$48+'TUSD BF'!$U$48+'TUSD CVA'!$U$48)*1</f>
        <v>0</v>
      </c>
      <c r="U48" s="12">
        <f>('TUSD BE'!$V$48+'TUSD BF'!$V$48+'TUSD CVA'!$V$48)*1</f>
        <v>0</v>
      </c>
      <c r="V48" s="12">
        <f>('TUSD BE'!$W$48+'TUSD BF'!$W$48+'TUSD CVA'!$W$48)*1</f>
        <v>0</v>
      </c>
      <c r="W48" s="12">
        <f>('TUSD BE'!$X$48+'TUSD BF'!$X$48+'TUSD CVA'!$X$48)*1</f>
        <v>0</v>
      </c>
      <c r="X48" s="12">
        <f>('TUSD BE'!$Y$48+'TUSD BF'!$Y$48+'TUSD CVA'!$Y$48)*1</f>
        <v>37.899666787616361</v>
      </c>
      <c r="Y48" s="12">
        <f>('TUSD BE'!$Z$48+'TUSD BF'!$Z$48+'TUSD CVA'!$Z$48)*1</f>
        <v>0</v>
      </c>
      <c r="Z48" s="12">
        <f>('TUSD BE'!$AA$48+'TUSD BF'!$AA$48+'TUSD CVA'!$AA$48)*1</f>
        <v>0</v>
      </c>
      <c r="AA48" s="12">
        <f>('TUSD BE'!$AC$48+'TUSD BF'!$AC$48+'TUSD CVA'!$AC$48)*1</f>
        <v>131.79177965872671</v>
      </c>
      <c r="AB48" s="12">
        <f ca="1">('TUSD BE'!$AE$48+'TUSD BF'!$AE$48+'TUSD CVA'!$AE$48)*1</f>
        <v>-7.1471966105497247</v>
      </c>
      <c r="AC48" s="12">
        <f ca="1">('TUSD BE'!$AF$48+'TUSD BF'!$AF$48+'TUSD CVA'!$AF$48)*1</f>
        <v>0</v>
      </c>
      <c r="AD48" s="12">
        <f>('TUSD BE'!$AH$48+'TUSD BF'!$AH$48+'TUSD CVA'!$AH$48)*1</f>
        <v>13.614220128314374</v>
      </c>
      <c r="AE48" s="12">
        <f>('TUSD BE'!$AI$48+'TUSD BF'!$AI$48+'TUSD CVA'!$AI$48)*1</f>
        <v>0</v>
      </c>
      <c r="AF48" s="12">
        <f ca="1">('TUSD BE'!$AJ$48+'TUSD BF'!$AJ$48+'TUSD CVA'!$AJ$48)*1</f>
        <v>0</v>
      </c>
      <c r="AG48" s="12">
        <f ca="1">('TUSD BE'!$AK$48+'TUSD BF'!$AK$48+'TUSD CVA'!$AK$48)*1</f>
        <v>0</v>
      </c>
      <c r="AI48" s="12">
        <v>0</v>
      </c>
      <c r="AJ48" s="12">
        <v>0.47260892517192399</v>
      </c>
      <c r="AK48" s="12">
        <v>0</v>
      </c>
      <c r="AL48" s="12">
        <v>0</v>
      </c>
      <c r="AM48" s="12">
        <v>0</v>
      </c>
      <c r="AN48" s="12">
        <v>55.656616620778699</v>
      </c>
      <c r="AO48" s="12">
        <v>8.7328579078868902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44.510529915839001</v>
      </c>
      <c r="AV48" s="12">
        <v>0</v>
      </c>
      <c r="AW48" s="12">
        <v>0</v>
      </c>
      <c r="AX48" s="12">
        <v>111.36490208446401</v>
      </c>
      <c r="AY48" s="12">
        <v>0</v>
      </c>
      <c r="AZ48" s="12">
        <v>0</v>
      </c>
      <c r="BA48" s="12">
        <v>1.6427249439373299</v>
      </c>
      <c r="BB48" s="12">
        <v>0</v>
      </c>
      <c r="BC48" s="12">
        <v>0</v>
      </c>
      <c r="BD48" s="12">
        <v>0</v>
      </c>
    </row>
    <row r="49" spans="1:56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>
        <f>('TUSD BE'!$L$49+'TUSD BF'!$L$49+'TUSD CVA'!$L$49)*1</f>
        <v>0</v>
      </c>
      <c r="M49" s="12">
        <f>('TUSD BE'!$M$49+'TUSD BF'!$M$49+'TUSD CVA'!$M$49)*1</f>
        <v>0.59205655079037456</v>
      </c>
      <c r="N49" s="12">
        <f ca="1">('TUSD BE'!$N$49+'TUSD BF'!$N$49+'TUSD CVA'!$N$49)*1</f>
        <v>0</v>
      </c>
      <c r="O49" s="12">
        <f>('TUSD BE'!$O$49+'TUSD BF'!$O$49+'TUSD CVA'!$O$49)*1</f>
        <v>0</v>
      </c>
      <c r="P49" s="12">
        <f>('TUSD BE'!$P$49+'TUSD BF'!$P$49+'TUSD CVA'!$P$49)*1</f>
        <v>0</v>
      </c>
      <c r="Q49" s="12">
        <f>('TUSD BE'!$Q$49+'TUSD BF'!$Q$49+'TUSD CVA'!$Q$49)*1</f>
        <v>88.751501607850059</v>
      </c>
      <c r="R49" s="12">
        <f>('TUSD BE'!$R$49+'TUSD BF'!$R$49+'TUSD CVA'!$R$49)*1</f>
        <v>14.030696755938665</v>
      </c>
      <c r="S49" s="12">
        <f>('TUSD BE'!$S$49+'TUSD BF'!$S$49+'TUSD CVA'!$S$49)*1</f>
        <v>0</v>
      </c>
      <c r="T49" s="12">
        <f>('TUSD BE'!$U$49+'TUSD BF'!$U$49+'TUSD CVA'!$U$49)*1</f>
        <v>0</v>
      </c>
      <c r="U49" s="12">
        <f>('TUSD BE'!$V$49+'TUSD BF'!$V$49+'TUSD CVA'!$V$49)*1</f>
        <v>0</v>
      </c>
      <c r="V49" s="12">
        <f>('TUSD BE'!$W$49+'TUSD BF'!$W$49+'TUSD CVA'!$W$49)*1</f>
        <v>0</v>
      </c>
      <c r="W49" s="12">
        <f>('TUSD BE'!$X$49+'TUSD BF'!$X$49+'TUSD CVA'!$X$49)*1</f>
        <v>0</v>
      </c>
      <c r="X49" s="12">
        <f>('TUSD BE'!$Y$49+'TUSD BF'!$Y$49+'TUSD CVA'!$Y$49)*1</f>
        <v>37.899666787616361</v>
      </c>
      <c r="Y49" s="12">
        <f>('TUSD BE'!$Z$49+'TUSD BF'!$Z$49+'TUSD CVA'!$Z$49)*1</f>
        <v>0</v>
      </c>
      <c r="Z49" s="12">
        <f>('TUSD BE'!$AA$49+'TUSD BF'!$AA$49+'TUSD CVA'!$AA$49)*1</f>
        <v>0</v>
      </c>
      <c r="AA49" s="12">
        <f>('TUSD BE'!$AC$49+'TUSD BF'!$AC$49+'TUSD CVA'!$AC$49)*1</f>
        <v>131.79177965872671</v>
      </c>
      <c r="AB49" s="12">
        <f ca="1">('TUSD BE'!$AE$49+'TUSD BF'!$AE$49+'TUSD CVA'!$AE$49)*1</f>
        <v>-7.1471966105497247</v>
      </c>
      <c r="AC49" s="12">
        <f ca="1">('TUSD BE'!$AF$49+'TUSD BF'!$AF$49+'TUSD CVA'!$AF$49)*1</f>
        <v>0</v>
      </c>
      <c r="AD49" s="12">
        <f>('TUSD BE'!$AH$49+'TUSD BF'!$AH$49+'TUSD CVA'!$AH$49)*1</f>
        <v>13.614220128314374</v>
      </c>
      <c r="AE49" s="12">
        <f>('TUSD BE'!$AI$49+'TUSD BF'!$AI$49+'TUSD CVA'!$AI$49)*1</f>
        <v>0</v>
      </c>
      <c r="AF49" s="12">
        <f ca="1">('TUSD BE'!$AJ$49+'TUSD BF'!$AJ$49+'TUSD CVA'!$AJ$49)*1</f>
        <v>0</v>
      </c>
      <c r="AG49" s="12">
        <f ca="1">('TUSD BE'!$AK$49+'TUSD BF'!$AK$49+'TUSD CVA'!$AK$49)*1</f>
        <v>0</v>
      </c>
      <c r="AI49" s="12">
        <v>0</v>
      </c>
      <c r="AJ49" s="12">
        <v>0.47260892517192399</v>
      </c>
      <c r="AK49" s="12">
        <v>0</v>
      </c>
      <c r="AL49" s="12">
        <v>0</v>
      </c>
      <c r="AM49" s="12">
        <v>0</v>
      </c>
      <c r="AN49" s="12">
        <v>55.656616620778699</v>
      </c>
      <c r="AO49" s="12">
        <v>8.7328579078868902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44.510529915839001</v>
      </c>
      <c r="AV49" s="12">
        <v>0</v>
      </c>
      <c r="AW49" s="12">
        <v>0</v>
      </c>
      <c r="AX49" s="12">
        <v>111.36490208446401</v>
      </c>
      <c r="AY49" s="12">
        <v>0</v>
      </c>
      <c r="AZ49" s="12">
        <v>0</v>
      </c>
      <c r="BA49" s="12">
        <v>1.6427249439373299</v>
      </c>
      <c r="BB49" s="12">
        <v>0</v>
      </c>
      <c r="BC49" s="12">
        <v>0</v>
      </c>
      <c r="BD49" s="12">
        <v>0</v>
      </c>
    </row>
    <row r="50" spans="1:56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>
        <f>('TUSD BE'!$L$50+'TUSD BF'!$L$50+'TUSD CVA'!$L$50)*1</f>
        <v>0</v>
      </c>
      <c r="M50" s="12">
        <f>('TUSD BE'!$M$50+'TUSD BF'!$M$50+'TUSD CVA'!$M$50)*1</f>
        <v>0.32563110293470604</v>
      </c>
      <c r="N50" s="12">
        <f ca="1">('TUSD BE'!$N$50+'TUSD BF'!$N$50+'TUSD CVA'!$N$50)*1</f>
        <v>0</v>
      </c>
      <c r="O50" s="12">
        <f>('TUSD BE'!$O$50+'TUSD BF'!$O$50+'TUSD CVA'!$O$50)*1</f>
        <v>0</v>
      </c>
      <c r="P50" s="12">
        <f>('TUSD BE'!$P$50+'TUSD BF'!$P$50+'TUSD CVA'!$P$50)*1</f>
        <v>0</v>
      </c>
      <c r="Q50" s="12">
        <f>('TUSD BE'!$Q$50+'TUSD BF'!$Q$50+'TUSD CVA'!$Q$50)*1</f>
        <v>48.813325884317535</v>
      </c>
      <c r="R50" s="12">
        <f>('TUSD BE'!$R$50+'TUSD BF'!$R$50+'TUSD CVA'!$R$50)*1</f>
        <v>7.7168832157662663</v>
      </c>
      <c r="S50" s="12">
        <f>('TUSD BE'!$S$50+'TUSD BF'!$S$50+'TUSD CVA'!$S$50)*1</f>
        <v>0</v>
      </c>
      <c r="T50" s="12">
        <f>('TUSD BE'!$U$50+'TUSD BF'!$U$50+'TUSD CVA'!$U$50)*1</f>
        <v>0</v>
      </c>
      <c r="U50" s="12">
        <f>('TUSD BE'!$V$50+'TUSD BF'!$V$50+'TUSD CVA'!$V$50)*1</f>
        <v>0</v>
      </c>
      <c r="V50" s="12">
        <f>('TUSD BE'!$W$50+'TUSD BF'!$W$50+'TUSD CVA'!$W$50)*1</f>
        <v>0</v>
      </c>
      <c r="W50" s="12">
        <f>('TUSD BE'!$X$50+'TUSD BF'!$X$50+'TUSD CVA'!$X$50)*1</f>
        <v>0</v>
      </c>
      <c r="X50" s="12">
        <f>('TUSD BE'!$Y$50+'TUSD BF'!$Y$50+'TUSD CVA'!$Y$50)*1</f>
        <v>20.844816733189003</v>
      </c>
      <c r="Y50" s="12">
        <f>('TUSD BE'!$Z$50+'TUSD BF'!$Z$50+'TUSD CVA'!$Z$50)*1</f>
        <v>0</v>
      </c>
      <c r="Z50" s="12">
        <f>('TUSD BE'!$AA$50+'TUSD BF'!$AA$50+'TUSD CVA'!$AA$50)*1</f>
        <v>0</v>
      </c>
      <c r="AA50" s="12">
        <f>('TUSD BE'!$AC$50+'TUSD BF'!$AC$50+'TUSD CVA'!$AC$50)*1</f>
        <v>72.485478812299689</v>
      </c>
      <c r="AB50" s="12">
        <f ca="1">('TUSD BE'!$AE$50+'TUSD BF'!$AE$50+'TUSD CVA'!$AE$50)*1</f>
        <v>-3.9309581358023489</v>
      </c>
      <c r="AC50" s="12">
        <f ca="1">('TUSD BE'!$AF$50+'TUSD BF'!$AF$50+'TUSD CVA'!$AF$50)*1</f>
        <v>0</v>
      </c>
      <c r="AD50" s="12">
        <f>('TUSD BE'!$AH$50+'TUSD BF'!$AH$50+'TUSD CVA'!$AH$50)*1</f>
        <v>7.487821070572906</v>
      </c>
      <c r="AE50" s="12">
        <f>('TUSD BE'!$AI$50+'TUSD BF'!$AI$50+'TUSD CVA'!$AI$50)*1</f>
        <v>0</v>
      </c>
      <c r="AF50" s="12">
        <f ca="1">('TUSD BE'!$AJ$50+'TUSD BF'!$AJ$50+'TUSD CVA'!$AJ$50)*1</f>
        <v>0</v>
      </c>
      <c r="AG50" s="12">
        <f ca="1">('TUSD BE'!$AK$50+'TUSD BF'!$AK$50+'TUSD CVA'!$AK$50)*1</f>
        <v>0</v>
      </c>
      <c r="AI50" s="12">
        <v>0</v>
      </c>
      <c r="AJ50" s="12">
        <v>0.259934908844558</v>
      </c>
      <c r="AK50" s="12">
        <v>0</v>
      </c>
      <c r="AL50" s="12">
        <v>0</v>
      </c>
      <c r="AM50" s="12">
        <v>0</v>
      </c>
      <c r="AN50" s="12">
        <v>30.6111391414283</v>
      </c>
      <c r="AO50" s="12">
        <v>4.8030718493377904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24.4807914537115</v>
      </c>
      <c r="AV50" s="12">
        <v>0</v>
      </c>
      <c r="AW50" s="12">
        <v>0</v>
      </c>
      <c r="AX50" s="12">
        <v>61.250696146454999</v>
      </c>
      <c r="AY50" s="12">
        <v>0</v>
      </c>
      <c r="AZ50" s="12">
        <v>0</v>
      </c>
      <c r="BA50" s="12">
        <v>0.90349871916553204</v>
      </c>
      <c r="BB50" s="12">
        <v>0</v>
      </c>
      <c r="BC50" s="12">
        <v>0</v>
      </c>
      <c r="BD50" s="12">
        <v>0</v>
      </c>
    </row>
    <row r="51" spans="1:56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>
        <f>('TUSD BE'!$L$51+'TUSD BF'!$L$51+'TUSD CVA'!$L$51)*1</f>
        <v>0</v>
      </c>
      <c r="M51" s="12">
        <f>('TUSD BE'!$M$51+'TUSD BF'!$M$51+'TUSD CVA'!$M$51)*1</f>
        <v>0.35523393047422475</v>
      </c>
      <c r="N51" s="12">
        <f ca="1">('TUSD BE'!$N$51+'TUSD BF'!$N$51+'TUSD CVA'!$N$51)*1</f>
        <v>0</v>
      </c>
      <c r="O51" s="12">
        <f>('TUSD BE'!$O$51+'TUSD BF'!$O$51+'TUSD CVA'!$O$51)*1</f>
        <v>0</v>
      </c>
      <c r="P51" s="12">
        <f>('TUSD BE'!$P$51+'TUSD BF'!$P$51+'TUSD CVA'!$P$51)*1</f>
        <v>0</v>
      </c>
      <c r="Q51" s="12">
        <f>('TUSD BE'!$Q$51+'TUSD BF'!$Q$51+'TUSD CVA'!$Q$51)*1</f>
        <v>53.250900964710034</v>
      </c>
      <c r="R51" s="12">
        <f>('TUSD BE'!$R$51+'TUSD BF'!$R$51+'TUSD CVA'!$R$51)*1</f>
        <v>8.4184180535631974</v>
      </c>
      <c r="S51" s="12">
        <f>('TUSD BE'!$S$51+'TUSD BF'!$S$51+'TUSD CVA'!$S$51)*1</f>
        <v>0</v>
      </c>
      <c r="T51" s="12">
        <f>('TUSD BE'!$U$51+'TUSD BF'!$U$51+'TUSD CVA'!$U$51)*1</f>
        <v>0</v>
      </c>
      <c r="U51" s="12">
        <f>('TUSD BE'!$V$51+'TUSD BF'!$V$51+'TUSD CVA'!$V$51)*1</f>
        <v>0</v>
      </c>
      <c r="V51" s="12">
        <f>('TUSD BE'!$W$51+'TUSD BF'!$W$51+'TUSD CVA'!$W$51)*1</f>
        <v>0</v>
      </c>
      <c r="W51" s="12">
        <f>('TUSD BE'!$X$51+'TUSD BF'!$X$51+'TUSD CVA'!$X$51)*1</f>
        <v>0</v>
      </c>
      <c r="X51" s="12">
        <f>('TUSD BE'!$Y$51+'TUSD BF'!$Y$51+'TUSD CVA'!$Y$51)*1</f>
        <v>22.739800072569821</v>
      </c>
      <c r="Y51" s="12">
        <f>('TUSD BE'!$Z$51+'TUSD BF'!$Z$51+'TUSD CVA'!$Z$51)*1</f>
        <v>0</v>
      </c>
      <c r="Z51" s="12">
        <f>('TUSD BE'!$AA$51+'TUSD BF'!$AA$51+'TUSD CVA'!$AA$51)*1</f>
        <v>0</v>
      </c>
      <c r="AA51" s="12">
        <f>('TUSD BE'!$AC$51+'TUSD BF'!$AC$51+'TUSD CVA'!$AC$51)*1</f>
        <v>79.075067795236009</v>
      </c>
      <c r="AB51" s="12">
        <f ca="1">('TUSD BE'!$AE$51+'TUSD BF'!$AE$51+'TUSD CVA'!$AE$51)*1</f>
        <v>-4.2883179663298341</v>
      </c>
      <c r="AC51" s="12">
        <f ca="1">('TUSD BE'!$AF$51+'TUSD BF'!$AF$51+'TUSD CVA'!$AF$51)*1</f>
        <v>0</v>
      </c>
      <c r="AD51" s="12">
        <f>('TUSD BE'!$AH$51+'TUSD BF'!$AH$51+'TUSD CVA'!$AH$51)*1</f>
        <v>8.1685320769886243</v>
      </c>
      <c r="AE51" s="12">
        <f>('TUSD BE'!$AI$51+'TUSD BF'!$AI$51+'TUSD CVA'!$AI$51)*1</f>
        <v>0</v>
      </c>
      <c r="AF51" s="12">
        <f ca="1">('TUSD BE'!$AJ$51+'TUSD BF'!$AJ$51+'TUSD CVA'!$AJ$51)*1</f>
        <v>0</v>
      </c>
      <c r="AG51" s="12">
        <f ca="1">('TUSD BE'!$AK$51+'TUSD BF'!$AK$51+'TUSD CVA'!$AK$51)*1</f>
        <v>0</v>
      </c>
      <c r="AI51" s="12">
        <v>0</v>
      </c>
      <c r="AJ51" s="12">
        <v>0.283565355103154</v>
      </c>
      <c r="AK51" s="12">
        <v>0</v>
      </c>
      <c r="AL51" s="12">
        <v>0</v>
      </c>
      <c r="AM51" s="12">
        <v>0</v>
      </c>
      <c r="AN51" s="12">
        <v>33.393969972467197</v>
      </c>
      <c r="AO51" s="12">
        <v>5.2397147447321304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26.706317949503401</v>
      </c>
      <c r="AV51" s="12">
        <v>0</v>
      </c>
      <c r="AW51" s="12">
        <v>0</v>
      </c>
      <c r="AX51" s="12">
        <v>66.818941250678094</v>
      </c>
      <c r="AY51" s="12">
        <v>0</v>
      </c>
      <c r="AZ51" s="12">
        <v>0</v>
      </c>
      <c r="BA51" s="12">
        <v>0.985634966362398</v>
      </c>
      <c r="BB51" s="12">
        <v>0</v>
      </c>
      <c r="BC51" s="12">
        <v>0</v>
      </c>
      <c r="BD51" s="12">
        <v>0</v>
      </c>
    </row>
    <row r="53" spans="1:56" ht="11.25" customHeight="1" x14ac:dyDescent="0.25">
      <c r="L53" s="105" t="s">
        <v>625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I53" s="105" t="s">
        <v>626</v>
      </c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</row>
    <row r="54" spans="1:56" ht="11.25" customHeight="1" x14ac:dyDescent="0.25">
      <c r="L54" s="105" t="s">
        <v>322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I54" s="105" t="s">
        <v>322</v>
      </c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</row>
    <row r="55" spans="1:56" ht="11.25" customHeight="1" x14ac:dyDescent="0.25">
      <c r="L55" s="105" t="s">
        <v>323</v>
      </c>
      <c r="M55" s="105"/>
      <c r="N55" s="105"/>
      <c r="O55" s="105"/>
      <c r="P55" s="105"/>
      <c r="Q55" s="105"/>
      <c r="R55" s="105"/>
      <c r="S55" s="105"/>
      <c r="T55" s="105" t="s">
        <v>332</v>
      </c>
      <c r="U55" s="105"/>
      <c r="V55" s="105"/>
      <c r="W55" s="105"/>
      <c r="X55" s="105"/>
      <c r="Y55" s="105"/>
      <c r="Z55" s="105"/>
      <c r="AA55" s="10" t="s">
        <v>340</v>
      </c>
      <c r="AB55" s="105" t="s">
        <v>342</v>
      </c>
      <c r="AC55" s="105"/>
      <c r="AD55" s="105" t="s">
        <v>345</v>
      </c>
      <c r="AE55" s="105"/>
      <c r="AF55" s="105"/>
      <c r="AG55" s="105"/>
      <c r="AI55" s="105" t="s">
        <v>323</v>
      </c>
      <c r="AJ55" s="105"/>
      <c r="AK55" s="105"/>
      <c r="AL55" s="105"/>
      <c r="AM55" s="105"/>
      <c r="AN55" s="105"/>
      <c r="AO55" s="105"/>
      <c r="AP55" s="105"/>
      <c r="AQ55" s="105" t="s">
        <v>332</v>
      </c>
      <c r="AR55" s="105"/>
      <c r="AS55" s="105"/>
      <c r="AT55" s="105"/>
      <c r="AU55" s="105"/>
      <c r="AV55" s="105"/>
      <c r="AW55" s="105"/>
      <c r="AX55" s="10" t="s">
        <v>340</v>
      </c>
      <c r="AY55" s="105" t="s">
        <v>342</v>
      </c>
      <c r="AZ55" s="105"/>
      <c r="BA55" s="105" t="s">
        <v>345</v>
      </c>
      <c r="BB55" s="105"/>
      <c r="BC55" s="105"/>
      <c r="BD55" s="105"/>
    </row>
    <row r="56" spans="1:56" ht="11.25" customHeight="1" x14ac:dyDescent="0.25">
      <c r="L56" s="10" t="s">
        <v>408</v>
      </c>
      <c r="M56" s="10" t="s">
        <v>324</v>
      </c>
      <c r="N56" s="10" t="s">
        <v>325</v>
      </c>
      <c r="O56" s="10" t="s">
        <v>326</v>
      </c>
      <c r="P56" s="10" t="s">
        <v>327</v>
      </c>
      <c r="Q56" s="10" t="s">
        <v>328</v>
      </c>
      <c r="R56" s="10" t="s">
        <v>329</v>
      </c>
      <c r="S56" s="10" t="s">
        <v>330</v>
      </c>
      <c r="T56" s="10" t="s">
        <v>333</v>
      </c>
      <c r="U56" s="10" t="s">
        <v>334</v>
      </c>
      <c r="V56" s="10" t="s">
        <v>335</v>
      </c>
      <c r="W56" s="10" t="s">
        <v>336</v>
      </c>
      <c r="X56" s="10" t="s">
        <v>337</v>
      </c>
      <c r="Y56" s="10" t="s">
        <v>338</v>
      </c>
      <c r="Z56" s="10" t="s">
        <v>339</v>
      </c>
      <c r="AA56" s="10" t="s">
        <v>341</v>
      </c>
      <c r="AB56" s="10" t="s">
        <v>343</v>
      </c>
      <c r="AC56" s="10" t="s">
        <v>344</v>
      </c>
      <c r="AD56" s="10" t="s">
        <v>346</v>
      </c>
      <c r="AE56" s="10" t="s">
        <v>347</v>
      </c>
      <c r="AF56" s="10" t="s">
        <v>348</v>
      </c>
      <c r="AG56" s="10" t="s">
        <v>349</v>
      </c>
      <c r="AI56" s="10" t="s">
        <v>408</v>
      </c>
      <c r="AJ56" s="10" t="s">
        <v>324</v>
      </c>
      <c r="AK56" s="10" t="s">
        <v>325</v>
      </c>
      <c r="AL56" s="10" t="s">
        <v>326</v>
      </c>
      <c r="AM56" s="10" t="s">
        <v>327</v>
      </c>
      <c r="AN56" s="10" t="s">
        <v>328</v>
      </c>
      <c r="AO56" s="10" t="s">
        <v>329</v>
      </c>
      <c r="AP56" s="10" t="s">
        <v>330</v>
      </c>
      <c r="AQ56" s="10" t="s">
        <v>333</v>
      </c>
      <c r="AR56" s="10" t="s">
        <v>334</v>
      </c>
      <c r="AS56" s="10" t="s">
        <v>335</v>
      </c>
      <c r="AT56" s="10" t="s">
        <v>336</v>
      </c>
      <c r="AU56" s="10" t="s">
        <v>337</v>
      </c>
      <c r="AV56" s="10" t="s">
        <v>338</v>
      </c>
      <c r="AW56" s="10" t="s">
        <v>339</v>
      </c>
      <c r="AX56" s="10" t="s">
        <v>341</v>
      </c>
      <c r="AY56" s="10" t="s">
        <v>343</v>
      </c>
      <c r="AZ56" s="10" t="s">
        <v>344</v>
      </c>
      <c r="BA56" s="10" t="s">
        <v>346</v>
      </c>
      <c r="BB56" s="10" t="s">
        <v>347</v>
      </c>
      <c r="BC56" s="10" t="s">
        <v>348</v>
      </c>
      <c r="BD56" s="10" t="s">
        <v>349</v>
      </c>
    </row>
    <row r="57" spans="1:56" ht="11.25" customHeight="1" x14ac:dyDescent="0.25">
      <c r="A57" s="9" t="s">
        <v>33</v>
      </c>
      <c r="B57" s="9" t="s">
        <v>627</v>
      </c>
      <c r="C57" s="9" t="s">
        <v>628</v>
      </c>
      <c r="D57" s="9" t="s">
        <v>629</v>
      </c>
      <c r="E57" s="9" t="s">
        <v>630</v>
      </c>
      <c r="F57" s="9" t="s">
        <v>631</v>
      </c>
      <c r="G57" s="9" t="s">
        <v>632</v>
      </c>
      <c r="L57" s="12">
        <f>$I$5*$L$5</f>
        <v>0</v>
      </c>
      <c r="M57" s="12">
        <f>$I$5*$M$5</f>
        <v>0</v>
      </c>
      <c r="N57" s="12">
        <f ca="1">$I$5*$N$5</f>
        <v>0</v>
      </c>
      <c r="O57" s="12">
        <f>$I$5*$O$5</f>
        <v>0</v>
      </c>
      <c r="P57" s="12">
        <f>$I$5*$P$5</f>
        <v>0</v>
      </c>
      <c r="Q57" s="12">
        <f>$I$5*$Q$5</f>
        <v>0</v>
      </c>
      <c r="R57" s="12">
        <f>$I$5*$R$5</f>
        <v>0</v>
      </c>
      <c r="S57" s="12">
        <f>$I$5*$S$5</f>
        <v>0</v>
      </c>
      <c r="T57" s="12">
        <f>$I$5*$T$5</f>
        <v>0</v>
      </c>
      <c r="U57" s="12">
        <f>$I$5*$U$5</f>
        <v>0</v>
      </c>
      <c r="V57" s="12">
        <f>$I$5*$V$5</f>
        <v>0</v>
      </c>
      <c r="W57" s="12">
        <f>$I$5*$W$5</f>
        <v>0</v>
      </c>
      <c r="X57" s="12">
        <f>$I$5*$X$5</f>
        <v>907834.23232960678</v>
      </c>
      <c r="Y57" s="12">
        <f>$I$5*$Y$5</f>
        <v>0</v>
      </c>
      <c r="Z57" s="12">
        <f>$I$5*$Z$5</f>
        <v>0</v>
      </c>
      <c r="AA57" s="12">
        <f>$I$5*$AA$5</f>
        <v>2223747.3411313812</v>
      </c>
      <c r="AB57" s="12">
        <f ca="1">$I$5*$AB$5</f>
        <v>-77431.412297153394</v>
      </c>
      <c r="AC57" s="12">
        <f ca="1">$I$5*$AC$5</f>
        <v>0</v>
      </c>
      <c r="AD57" s="12">
        <f>$I$5*$AD$5</f>
        <v>0</v>
      </c>
      <c r="AE57" s="12">
        <f>$I$5*$AE$5</f>
        <v>0</v>
      </c>
      <c r="AF57" s="12">
        <f ca="1">$I$5*$AF$5</f>
        <v>0</v>
      </c>
      <c r="AG57" s="12">
        <f ca="1">$I$5*$AG$5</f>
        <v>0</v>
      </c>
      <c r="AI57" s="12">
        <f>$I$5*$AI$5</f>
        <v>0</v>
      </c>
      <c r="AJ57" s="12">
        <f>$I$5*$AJ$5</f>
        <v>0</v>
      </c>
      <c r="AK57" s="12">
        <f>$I$5*$AK$5</f>
        <v>0</v>
      </c>
      <c r="AL57" s="12">
        <f>$I$5*$AL$5</f>
        <v>0</v>
      </c>
      <c r="AM57" s="12">
        <f>$I$5*$AM$5</f>
        <v>0</v>
      </c>
      <c r="AN57" s="12">
        <f>$I$5*$AN$5</f>
        <v>0</v>
      </c>
      <c r="AO57" s="12">
        <f>$I$5*$AO$5</f>
        <v>0</v>
      </c>
      <c r="AP57" s="12">
        <f>$I$5*$AP$5</f>
        <v>0</v>
      </c>
      <c r="AQ57" s="12">
        <f>$I$5*$AQ$5</f>
        <v>0</v>
      </c>
      <c r="AR57" s="12">
        <f>$I$5*$AR$5</f>
        <v>0</v>
      </c>
      <c r="AS57" s="12">
        <f>$I$5*$AS$5</f>
        <v>0</v>
      </c>
      <c r="AT57" s="12">
        <f>$I$5*$AT$5</f>
        <v>0</v>
      </c>
      <c r="AU57" s="12">
        <f>$I$5*$AU$5</f>
        <v>1017707.4132761634</v>
      </c>
      <c r="AV57" s="12">
        <f>$I$5*$AV$5</f>
        <v>0</v>
      </c>
      <c r="AW57" s="12">
        <f>$I$5*$AW$5</f>
        <v>0</v>
      </c>
      <c r="AX57" s="12">
        <f>$I$5*$AX$5</f>
        <v>1996619.4405491136</v>
      </c>
      <c r="AY57" s="12">
        <f>$I$5*$AY$5</f>
        <v>0</v>
      </c>
      <c r="AZ57" s="12">
        <f>$I$5*$AZ$5</f>
        <v>0</v>
      </c>
      <c r="BA57" s="12">
        <f>$I$5*$BA$5</f>
        <v>0</v>
      </c>
      <c r="BB57" s="12">
        <f>$I$5*$BB$5</f>
        <v>0</v>
      </c>
      <c r="BC57" s="12">
        <f>$I$5*$BC$5</f>
        <v>0</v>
      </c>
      <c r="BD57" s="12">
        <f>$I$5*$BD$5</f>
        <v>0</v>
      </c>
    </row>
    <row r="58" spans="1:56" ht="11.25" customHeight="1" x14ac:dyDescent="0.25">
      <c r="A58" s="9" t="s">
        <v>33</v>
      </c>
      <c r="B58" s="9" t="s">
        <v>627</v>
      </c>
      <c r="C58" s="9" t="s">
        <v>628</v>
      </c>
      <c r="D58" s="9" t="s">
        <v>629</v>
      </c>
      <c r="E58" s="9" t="s">
        <v>630</v>
      </c>
      <c r="F58" s="9" t="s">
        <v>631</v>
      </c>
      <c r="G58" s="9" t="s">
        <v>633</v>
      </c>
      <c r="L58" s="12">
        <f>$I$6*$L$6</f>
        <v>0</v>
      </c>
      <c r="M58" s="12">
        <f>$I$6*$M$6</f>
        <v>0</v>
      </c>
      <c r="N58" s="12">
        <f ca="1">$I$6*$N$6</f>
        <v>0</v>
      </c>
      <c r="O58" s="12">
        <f>$I$6*$O$6</f>
        <v>0</v>
      </c>
      <c r="P58" s="12">
        <f>$I$6*$P$6</f>
        <v>0</v>
      </c>
      <c r="Q58" s="12">
        <f>$I$6*$Q$6</f>
        <v>0</v>
      </c>
      <c r="R58" s="12">
        <f>$I$6*$R$6</f>
        <v>0</v>
      </c>
      <c r="S58" s="12">
        <f>$I$6*$S$6</f>
        <v>0</v>
      </c>
      <c r="T58" s="12">
        <f>$I$6*$T$6</f>
        <v>0</v>
      </c>
      <c r="U58" s="12">
        <f>$I$6*$U$6</f>
        <v>0</v>
      </c>
      <c r="V58" s="12">
        <f>$I$6*$V$6</f>
        <v>0</v>
      </c>
      <c r="W58" s="12">
        <f>$I$6*$W$6</f>
        <v>0</v>
      </c>
      <c r="X58" s="12">
        <f>$I$6*$X$6</f>
        <v>569712.26485934702</v>
      </c>
      <c r="Y58" s="12">
        <f>$I$6*$Y$6</f>
        <v>0</v>
      </c>
      <c r="Z58" s="12">
        <f>$I$6*$Z$6</f>
        <v>0</v>
      </c>
      <c r="AA58" s="12">
        <f>$I$6*$AA$6</f>
        <v>663537.370161072</v>
      </c>
      <c r="AB58" s="12">
        <f ca="1">$I$6*$AB$6</f>
        <v>-30341.6864546537</v>
      </c>
      <c r="AC58" s="12">
        <f ca="1">$I$6*$AC$6</f>
        <v>0</v>
      </c>
      <c r="AD58" s="12">
        <f>$I$6*$AD$6</f>
        <v>0</v>
      </c>
      <c r="AE58" s="12">
        <f>$I$6*$AE$6</f>
        <v>0</v>
      </c>
      <c r="AF58" s="12">
        <f ca="1">$I$6*$AF$6</f>
        <v>0</v>
      </c>
      <c r="AG58" s="12">
        <f ca="1">$I$6*$AG$6</f>
        <v>0</v>
      </c>
      <c r="AI58" s="12">
        <f>$I$6*$AI$6</f>
        <v>0</v>
      </c>
      <c r="AJ58" s="12">
        <f>$I$6*$AJ$6</f>
        <v>0</v>
      </c>
      <c r="AK58" s="12">
        <f>$I$6*$AK$6</f>
        <v>0</v>
      </c>
      <c r="AL58" s="12">
        <f>$I$6*$AL$6</f>
        <v>0</v>
      </c>
      <c r="AM58" s="12">
        <f>$I$6*$AM$6</f>
        <v>0</v>
      </c>
      <c r="AN58" s="12">
        <f>$I$6*$AN$6</f>
        <v>0</v>
      </c>
      <c r="AO58" s="12">
        <f>$I$6*$AO$6</f>
        <v>0</v>
      </c>
      <c r="AP58" s="12">
        <f>$I$6*$AP$6</f>
        <v>0</v>
      </c>
      <c r="AQ58" s="12">
        <f>$I$6*$AQ$6</f>
        <v>0</v>
      </c>
      <c r="AR58" s="12">
        <f>$I$6*$AR$6</f>
        <v>0</v>
      </c>
      <c r="AS58" s="12">
        <f>$I$6*$AS$6</f>
        <v>0</v>
      </c>
      <c r="AT58" s="12">
        <f>$I$6*$AT$6</f>
        <v>0</v>
      </c>
      <c r="AU58" s="12">
        <f>$I$6*$AU$6</f>
        <v>449898.63601596066</v>
      </c>
      <c r="AV58" s="12">
        <f>$I$6*$AV$6</f>
        <v>0</v>
      </c>
      <c r="AW58" s="12">
        <f>$I$6*$AW$6</f>
        <v>0</v>
      </c>
      <c r="AX58" s="12">
        <f>$I$6*$AX$6</f>
        <v>608244.28318226652</v>
      </c>
      <c r="AY58" s="12">
        <f>$I$6*$AY$6</f>
        <v>0</v>
      </c>
      <c r="AZ58" s="12">
        <f>$I$6*$AZ$6</f>
        <v>0</v>
      </c>
      <c r="BA58" s="12">
        <f>$I$6*$BA$6</f>
        <v>0</v>
      </c>
      <c r="BB58" s="12">
        <f>$I$6*$BB$6</f>
        <v>0</v>
      </c>
      <c r="BC58" s="12">
        <f>$I$6*$BC$6</f>
        <v>0</v>
      </c>
      <c r="BD58" s="12">
        <f>$I$6*$BD$6</f>
        <v>0</v>
      </c>
    </row>
    <row r="59" spans="1:56" ht="11.25" customHeight="1" x14ac:dyDescent="0.25">
      <c r="A59" s="9" t="s">
        <v>33</v>
      </c>
      <c r="B59" s="9" t="s">
        <v>627</v>
      </c>
      <c r="C59" s="9" t="s">
        <v>628</v>
      </c>
      <c r="D59" s="9" t="s">
        <v>629</v>
      </c>
      <c r="E59" s="9" t="s">
        <v>630</v>
      </c>
      <c r="F59" s="9" t="s">
        <v>631</v>
      </c>
      <c r="G59" s="9" t="s">
        <v>634</v>
      </c>
      <c r="L59" s="12">
        <f>$I$7*$L$7</f>
        <v>0</v>
      </c>
      <c r="M59" s="12">
        <f>$I$7*$M$7</f>
        <v>13819.611920930376</v>
      </c>
      <c r="N59" s="12">
        <f ca="1">$I$7*$N$7</f>
        <v>0</v>
      </c>
      <c r="O59" s="12">
        <f>$I$7*$O$7</f>
        <v>0</v>
      </c>
      <c r="P59" s="12">
        <f>$I$7*$P$7</f>
        <v>0</v>
      </c>
      <c r="Q59" s="12">
        <f>$I$7*$Q$7</f>
        <v>3081305.0213354887</v>
      </c>
      <c r="R59" s="12">
        <f>$I$7*$R$7</f>
        <v>579907.77867053309</v>
      </c>
      <c r="S59" s="12">
        <f>$I$7*$S$7</f>
        <v>0</v>
      </c>
      <c r="T59" s="12">
        <f>$I$7*$T$7</f>
        <v>0</v>
      </c>
      <c r="U59" s="12">
        <f>$I$7*$U$7</f>
        <v>0</v>
      </c>
      <c r="V59" s="12">
        <f>$I$7*$V$7</f>
        <v>0</v>
      </c>
      <c r="W59" s="12">
        <f>$I$7*$W$7</f>
        <v>0</v>
      </c>
      <c r="X59" s="12">
        <f>$I$7*$X$7</f>
        <v>0</v>
      </c>
      <c r="Y59" s="12">
        <f>$I$7*$Y$7</f>
        <v>0</v>
      </c>
      <c r="Z59" s="12">
        <f>$I$7*$Z$7</f>
        <v>0</v>
      </c>
      <c r="AA59" s="12">
        <f>$I$7*$AA$7</f>
        <v>0</v>
      </c>
      <c r="AB59" s="12">
        <f ca="1">$I$7*$AB$7</f>
        <v>-99639.078208710867</v>
      </c>
      <c r="AC59" s="12">
        <f ca="1">$I$7*$AC$7</f>
        <v>0</v>
      </c>
      <c r="AD59" s="12">
        <f>$I$7*$AD$7</f>
        <v>281904.28731170984</v>
      </c>
      <c r="AE59" s="12">
        <f>$I$7*$AE$7</f>
        <v>0</v>
      </c>
      <c r="AF59" s="12">
        <f ca="1">$I$7*$AF$7</f>
        <v>0</v>
      </c>
      <c r="AG59" s="12">
        <f ca="1">$I$7*$AG$7</f>
        <v>0</v>
      </c>
      <c r="AI59" s="12">
        <f>$I$7*$AI$7</f>
        <v>0</v>
      </c>
      <c r="AJ59" s="12">
        <f>$I$7*$AJ$7</f>
        <v>10841.833910518366</v>
      </c>
      <c r="AK59" s="12">
        <f>$I$7*$AK$7</f>
        <v>0</v>
      </c>
      <c r="AL59" s="12">
        <f>$I$7*$AL$7</f>
        <v>0</v>
      </c>
      <c r="AM59" s="12">
        <f>$I$7*$AM$7</f>
        <v>0</v>
      </c>
      <c r="AN59" s="12">
        <f>$I$7*$AN$7</f>
        <v>2001316.3824037889</v>
      </c>
      <c r="AO59" s="12">
        <f>$I$7*$AO$7</f>
        <v>360940.89401971991</v>
      </c>
      <c r="AP59" s="12">
        <f>$I$7*$AP$7</f>
        <v>0</v>
      </c>
      <c r="AQ59" s="12">
        <f>$I$7*$AQ$7</f>
        <v>0</v>
      </c>
      <c r="AR59" s="12">
        <f>$I$7*$AR$7</f>
        <v>0</v>
      </c>
      <c r="AS59" s="12">
        <f>$I$7*$AS$7</f>
        <v>0</v>
      </c>
      <c r="AT59" s="12">
        <f>$I$7*$AT$7</f>
        <v>0</v>
      </c>
      <c r="AU59" s="12">
        <f>$I$7*$AU$7</f>
        <v>0</v>
      </c>
      <c r="AV59" s="12">
        <f>$I$7*$AV$7</f>
        <v>0</v>
      </c>
      <c r="AW59" s="12">
        <f>$I$7*$AW$7</f>
        <v>0</v>
      </c>
      <c r="AX59" s="12">
        <f>$I$7*$AX$7</f>
        <v>0</v>
      </c>
      <c r="AY59" s="12">
        <f>$I$7*$AY$7</f>
        <v>0</v>
      </c>
      <c r="AZ59" s="12">
        <f>$I$7*$AZ$7</f>
        <v>0</v>
      </c>
      <c r="BA59" s="12">
        <f>$I$7*$BA$7</f>
        <v>26215.841682114162</v>
      </c>
      <c r="BB59" s="12">
        <f>$I$7*$BB$7</f>
        <v>0</v>
      </c>
      <c r="BC59" s="12">
        <f>$I$7*$BC$7</f>
        <v>0</v>
      </c>
      <c r="BD59" s="12">
        <f>$I$7*$BD$7</f>
        <v>0</v>
      </c>
    </row>
    <row r="60" spans="1:56" ht="11.25" customHeight="1" x14ac:dyDescent="0.25">
      <c r="A60" s="9" t="s">
        <v>33</v>
      </c>
      <c r="B60" s="9" t="s">
        <v>627</v>
      </c>
      <c r="C60" s="9" t="s">
        <v>628</v>
      </c>
      <c r="D60" s="9" t="s">
        <v>629</v>
      </c>
      <c r="E60" s="9" t="s">
        <v>635</v>
      </c>
      <c r="F60" s="9" t="s">
        <v>636</v>
      </c>
      <c r="G60" s="9" t="s">
        <v>637</v>
      </c>
      <c r="L60" s="12">
        <f>$I$8*$L$8</f>
        <v>0</v>
      </c>
      <c r="M60" s="12">
        <f>$I$8*$M$8</f>
        <v>0</v>
      </c>
      <c r="N60" s="12">
        <f ca="1">$I$8*$N$8</f>
        <v>0</v>
      </c>
      <c r="O60" s="12">
        <f>$I$8*$O$8</f>
        <v>0</v>
      </c>
      <c r="P60" s="12">
        <f>$I$8*$P$8</f>
        <v>0</v>
      </c>
      <c r="Q60" s="12">
        <f>$I$8*$Q$8</f>
        <v>0</v>
      </c>
      <c r="R60" s="12">
        <f>$I$8*$R$8</f>
        <v>0</v>
      </c>
      <c r="S60" s="12">
        <f>$I$8*$S$8</f>
        <v>0</v>
      </c>
      <c r="T60" s="12">
        <f>$I$8*$T$8</f>
        <v>0</v>
      </c>
      <c r="U60" s="12">
        <f>$I$8*$U$8</f>
        <v>0</v>
      </c>
      <c r="V60" s="12">
        <f>$I$8*$V$8</f>
        <v>0</v>
      </c>
      <c r="W60" s="12">
        <f>$I$8*$W$8</f>
        <v>0</v>
      </c>
      <c r="X60" s="12">
        <f>$I$8*$X$8</f>
        <v>0</v>
      </c>
      <c r="Y60" s="12">
        <f>$I$8*$Y$8</f>
        <v>0</v>
      </c>
      <c r="Z60" s="12">
        <f>$I$8*$Z$8</f>
        <v>0</v>
      </c>
      <c r="AA60" s="12">
        <f>$I$8*$AA$8</f>
        <v>0</v>
      </c>
      <c r="AB60" s="12">
        <f ca="1">$I$8*$AB$8</f>
        <v>0</v>
      </c>
      <c r="AC60" s="12">
        <f ca="1">$I$8*$AC$8</f>
        <v>0</v>
      </c>
      <c r="AD60" s="12">
        <f>$I$8*$AD$8</f>
        <v>0</v>
      </c>
      <c r="AE60" s="12">
        <f>$I$8*$AE$8</f>
        <v>0</v>
      </c>
      <c r="AF60" s="12">
        <f ca="1">$I$8*$AF$8</f>
        <v>0</v>
      </c>
      <c r="AG60" s="12">
        <f ca="1">$I$8*$AG$8</f>
        <v>0</v>
      </c>
      <c r="AI60" s="12">
        <f>$I$8*$AI$8</f>
        <v>0</v>
      </c>
      <c r="AJ60" s="12">
        <f>$I$8*$AJ$8</f>
        <v>0</v>
      </c>
      <c r="AK60" s="12">
        <f>$I$8*$AK$8</f>
        <v>0</v>
      </c>
      <c r="AL60" s="12">
        <f>$I$8*$AL$8</f>
        <v>0</v>
      </c>
      <c r="AM60" s="12">
        <f>$I$8*$AM$8</f>
        <v>0</v>
      </c>
      <c r="AN60" s="12">
        <f>$I$8*$AN$8</f>
        <v>0</v>
      </c>
      <c r="AO60" s="12">
        <f>$I$8*$AO$8</f>
        <v>0</v>
      </c>
      <c r="AP60" s="12">
        <f>$I$8*$AP$8</f>
        <v>0</v>
      </c>
      <c r="AQ60" s="12">
        <f>$I$8*$AQ$8</f>
        <v>0</v>
      </c>
      <c r="AR60" s="12">
        <f>$I$8*$AR$8</f>
        <v>0</v>
      </c>
      <c r="AS60" s="12">
        <f>$I$8*$AS$8</f>
        <v>0</v>
      </c>
      <c r="AT60" s="12">
        <f>$I$8*$AT$8</f>
        <v>0</v>
      </c>
      <c r="AU60" s="12">
        <f>$I$8*$AU$8</f>
        <v>0</v>
      </c>
      <c r="AV60" s="12">
        <f>$I$8*$AV$8</f>
        <v>0</v>
      </c>
      <c r="AW60" s="12">
        <f>$I$8*$AW$8</f>
        <v>0</v>
      </c>
      <c r="AX60" s="12">
        <f>$I$8*$AX$8</f>
        <v>0</v>
      </c>
      <c r="AY60" s="12">
        <f>$I$8*$AY$8</f>
        <v>0</v>
      </c>
      <c r="AZ60" s="12">
        <f>$I$8*$AZ$8</f>
        <v>0</v>
      </c>
      <c r="BA60" s="12">
        <f>$I$8*$BA$8</f>
        <v>0</v>
      </c>
      <c r="BB60" s="12">
        <f>$I$8*$BB$8</f>
        <v>0</v>
      </c>
      <c r="BC60" s="12">
        <f>$I$8*$BC$8</f>
        <v>0</v>
      </c>
      <c r="BD60" s="12">
        <f>$I$8*$BD$8</f>
        <v>0</v>
      </c>
    </row>
    <row r="61" spans="1:56" ht="11.25" customHeight="1" x14ac:dyDescent="0.25">
      <c r="A61" s="9" t="s">
        <v>33</v>
      </c>
      <c r="B61" s="9" t="s">
        <v>638</v>
      </c>
      <c r="C61" s="9" t="s">
        <v>639</v>
      </c>
      <c r="D61" s="9" t="s">
        <v>640</v>
      </c>
      <c r="E61" s="9" t="s">
        <v>641</v>
      </c>
      <c r="F61" s="9" t="s">
        <v>642</v>
      </c>
      <c r="G61" s="9" t="s">
        <v>643</v>
      </c>
      <c r="L61" s="12">
        <f>$I$9*$L$9</f>
        <v>0</v>
      </c>
      <c r="M61" s="12">
        <f>$I$9*$M$9</f>
        <v>0</v>
      </c>
      <c r="N61" s="12">
        <f ca="1">$I$9*$N$9</f>
        <v>0</v>
      </c>
      <c r="O61" s="12">
        <f>$I$9*$O$9</f>
        <v>0</v>
      </c>
      <c r="P61" s="12">
        <f>$I$9*$P$9</f>
        <v>0</v>
      </c>
      <c r="Q61" s="12">
        <f>$I$9*$Q$9</f>
        <v>0</v>
      </c>
      <c r="R61" s="12">
        <f>$I$9*$R$9</f>
        <v>0</v>
      </c>
      <c r="S61" s="12">
        <f>$I$9*$S$9</f>
        <v>0</v>
      </c>
      <c r="T61" s="12">
        <f>$I$9*$T$9</f>
        <v>0</v>
      </c>
      <c r="U61" s="12">
        <f>$I$9*$U$9</f>
        <v>0</v>
      </c>
      <c r="V61" s="12">
        <f>$I$9*$V$9</f>
        <v>0</v>
      </c>
      <c r="W61" s="12">
        <f>$I$9*$W$9</f>
        <v>0</v>
      </c>
      <c r="X61" s="12">
        <f>$I$9*$X$9</f>
        <v>0</v>
      </c>
      <c r="Y61" s="12">
        <f>$I$9*$Y$9</f>
        <v>0</v>
      </c>
      <c r="Z61" s="12">
        <f>$I$9*$Z$9</f>
        <v>0</v>
      </c>
      <c r="AA61" s="12">
        <f>$I$9*$AA$9</f>
        <v>0</v>
      </c>
      <c r="AB61" s="12">
        <f ca="1">$I$9*$AB$9</f>
        <v>0</v>
      </c>
      <c r="AC61" s="12">
        <f ca="1">$I$9*$AC$9</f>
        <v>0</v>
      </c>
      <c r="AD61" s="12">
        <f>$I$9*$AD$9</f>
        <v>0</v>
      </c>
      <c r="AE61" s="12">
        <f>$I$9*$AE$9</f>
        <v>0</v>
      </c>
      <c r="AF61" s="12">
        <f ca="1">$I$9*$AF$9</f>
        <v>0</v>
      </c>
      <c r="AG61" s="12">
        <f ca="1">$I$9*$AG$9</f>
        <v>0</v>
      </c>
      <c r="AI61" s="12">
        <f>$I$9*$AI$9</f>
        <v>0</v>
      </c>
      <c r="AJ61" s="12">
        <f>$I$9*$AJ$9</f>
        <v>0</v>
      </c>
      <c r="AK61" s="12">
        <f>$I$9*$AK$9</f>
        <v>0</v>
      </c>
      <c r="AL61" s="12">
        <f>$I$9*$AL$9</f>
        <v>0</v>
      </c>
      <c r="AM61" s="12">
        <f>$I$9*$AM$9</f>
        <v>0</v>
      </c>
      <c r="AN61" s="12">
        <f>$I$9*$AN$9</f>
        <v>0</v>
      </c>
      <c r="AO61" s="12">
        <f>$I$9*$AO$9</f>
        <v>0</v>
      </c>
      <c r="AP61" s="12">
        <f>$I$9*$AP$9</f>
        <v>0</v>
      </c>
      <c r="AQ61" s="12">
        <f>$I$9*$AQ$9</f>
        <v>0</v>
      </c>
      <c r="AR61" s="12">
        <f>$I$9*$AR$9</f>
        <v>0</v>
      </c>
      <c r="AS61" s="12">
        <f>$I$9*$AS$9</f>
        <v>0</v>
      </c>
      <c r="AT61" s="12">
        <f>$I$9*$AT$9</f>
        <v>0</v>
      </c>
      <c r="AU61" s="12">
        <f>$I$9*$AU$9</f>
        <v>0</v>
      </c>
      <c r="AV61" s="12">
        <f>$I$9*$AV$9</f>
        <v>0</v>
      </c>
      <c r="AW61" s="12">
        <f>$I$9*$AW$9</f>
        <v>0</v>
      </c>
      <c r="AX61" s="12">
        <f>$I$9*$AX$9</f>
        <v>0</v>
      </c>
      <c r="AY61" s="12">
        <f>$I$9*$AY$9</f>
        <v>0</v>
      </c>
      <c r="AZ61" s="12">
        <f>$I$9*$AZ$9</f>
        <v>0</v>
      </c>
      <c r="BA61" s="12">
        <f>$I$9*$BA$9</f>
        <v>0</v>
      </c>
      <c r="BB61" s="12">
        <f>$I$9*$BB$9</f>
        <v>0</v>
      </c>
      <c r="BC61" s="12">
        <f>$I$9*$BC$9</f>
        <v>0</v>
      </c>
      <c r="BD61" s="12">
        <f>$I$9*$BD$9</f>
        <v>0</v>
      </c>
    </row>
    <row r="62" spans="1:56" ht="11.25" customHeight="1" x14ac:dyDescent="0.25">
      <c r="A62" s="9" t="s">
        <v>33</v>
      </c>
      <c r="B62" s="9" t="s">
        <v>644</v>
      </c>
      <c r="C62" s="9" t="s">
        <v>645</v>
      </c>
      <c r="D62" s="9" t="s">
        <v>646</v>
      </c>
      <c r="E62" s="9" t="s">
        <v>647</v>
      </c>
      <c r="F62" s="9" t="s">
        <v>648</v>
      </c>
      <c r="G62" s="9" t="s">
        <v>649</v>
      </c>
      <c r="L62" s="12">
        <f>$I$10*$L$10</f>
        <v>0</v>
      </c>
      <c r="M62" s="12">
        <f>$I$10*$M$10</f>
        <v>0</v>
      </c>
      <c r="N62" s="12">
        <f ca="1">$I$10*$N$10</f>
        <v>0</v>
      </c>
      <c r="O62" s="12">
        <f>$I$10*$O$10</f>
        <v>0</v>
      </c>
      <c r="P62" s="12">
        <f>$I$10*$P$10</f>
        <v>0</v>
      </c>
      <c r="Q62" s="12">
        <f>$I$10*$Q$10</f>
        <v>0</v>
      </c>
      <c r="R62" s="12">
        <f>$I$10*$R$10</f>
        <v>0</v>
      </c>
      <c r="S62" s="12">
        <f>$I$10*$S$10</f>
        <v>0</v>
      </c>
      <c r="T62" s="12">
        <f>$I$10*$T$10</f>
        <v>0</v>
      </c>
      <c r="U62" s="12">
        <f>$I$10*$U$10</f>
        <v>0</v>
      </c>
      <c r="V62" s="12">
        <f>$I$10*$V$10</f>
        <v>0</v>
      </c>
      <c r="W62" s="12">
        <f>$I$10*$W$10</f>
        <v>0</v>
      </c>
      <c r="X62" s="12">
        <f>$I$10*$X$10</f>
        <v>313668.81231106108</v>
      </c>
      <c r="Y62" s="12">
        <f>$I$10*$Y$10</f>
        <v>0</v>
      </c>
      <c r="Z62" s="12">
        <f>$I$10*$Z$10</f>
        <v>0</v>
      </c>
      <c r="AA62" s="12">
        <f>$I$10*$AA$10</f>
        <v>365326.48436805658</v>
      </c>
      <c r="AB62" s="12">
        <f ca="1">$I$10*$AB$10</f>
        <v>-16705.346436758726</v>
      </c>
      <c r="AC62" s="12">
        <f ca="1">$I$10*$AC$10</f>
        <v>0</v>
      </c>
      <c r="AD62" s="12">
        <f>$I$10*$AD$10</f>
        <v>0</v>
      </c>
      <c r="AE62" s="12">
        <f>$I$10*$AE$10</f>
        <v>0</v>
      </c>
      <c r="AF62" s="12">
        <f ca="1">$I$10*$AF$10</f>
        <v>0</v>
      </c>
      <c r="AG62" s="12">
        <f ca="1">$I$10*$AG$10</f>
        <v>0</v>
      </c>
      <c r="AI62" s="12">
        <f>$I$10*$AI$10</f>
        <v>0</v>
      </c>
      <c r="AJ62" s="12">
        <f>$I$10*$AJ$10</f>
        <v>0</v>
      </c>
      <c r="AK62" s="12">
        <f>$I$10*$AK$10</f>
        <v>0</v>
      </c>
      <c r="AL62" s="12">
        <f>$I$10*$AL$10</f>
        <v>0</v>
      </c>
      <c r="AM62" s="12">
        <f>$I$10*$AM$10</f>
        <v>0</v>
      </c>
      <c r="AN62" s="12">
        <f>$I$10*$AN$10</f>
        <v>0</v>
      </c>
      <c r="AO62" s="12">
        <f>$I$10*$AO$10</f>
        <v>0</v>
      </c>
      <c r="AP62" s="12">
        <f>$I$10*$AP$10</f>
        <v>0</v>
      </c>
      <c r="AQ62" s="12">
        <f>$I$10*$AQ$10</f>
        <v>0</v>
      </c>
      <c r="AR62" s="12">
        <f>$I$10*$AR$10</f>
        <v>0</v>
      </c>
      <c r="AS62" s="12">
        <f>$I$10*$AS$10</f>
        <v>0</v>
      </c>
      <c r="AT62" s="12">
        <f>$I$10*$AT$10</f>
        <v>0</v>
      </c>
      <c r="AU62" s="12">
        <f>$I$10*$AU$10</f>
        <v>247702.53253075542</v>
      </c>
      <c r="AV62" s="12">
        <f>$I$10*$AV$10</f>
        <v>0</v>
      </c>
      <c r="AW62" s="12">
        <f>$I$10*$AW$10</f>
        <v>0</v>
      </c>
      <c r="AX62" s="12">
        <f>$I$10*$AX$10</f>
        <v>334883.54327052552</v>
      </c>
      <c r="AY62" s="12">
        <f>$I$10*$AY$10</f>
        <v>0</v>
      </c>
      <c r="AZ62" s="12">
        <f>$I$10*$AZ$10</f>
        <v>0</v>
      </c>
      <c r="BA62" s="12">
        <f>$I$10*$BA$10</f>
        <v>0</v>
      </c>
      <c r="BB62" s="12">
        <f>$I$10*$BB$10</f>
        <v>0</v>
      </c>
      <c r="BC62" s="12">
        <f>$I$10*$BC$10</f>
        <v>0</v>
      </c>
      <c r="BD62" s="12">
        <f>$I$10*$BD$10</f>
        <v>0</v>
      </c>
    </row>
    <row r="63" spans="1:56" ht="11.25" customHeight="1" x14ac:dyDescent="0.25">
      <c r="A63" s="9" t="s">
        <v>33</v>
      </c>
      <c r="B63" s="9" t="s">
        <v>644</v>
      </c>
      <c r="C63" s="9" t="s">
        <v>645</v>
      </c>
      <c r="D63" s="9" t="s">
        <v>646</v>
      </c>
      <c r="E63" s="9" t="s">
        <v>647</v>
      </c>
      <c r="F63" s="9" t="s">
        <v>648</v>
      </c>
      <c r="G63" s="9" t="s">
        <v>650</v>
      </c>
      <c r="L63" s="12">
        <f>$I$11*$L$11</f>
        <v>0</v>
      </c>
      <c r="M63" s="12">
        <f>$I$11*$M$11</f>
        <v>257.79833338268992</v>
      </c>
      <c r="N63" s="12">
        <f ca="1">$I$11*$N$11</f>
        <v>0</v>
      </c>
      <c r="O63" s="12">
        <f>$I$11*$O$11</f>
        <v>0</v>
      </c>
      <c r="P63" s="12">
        <f>$I$11*$P$11</f>
        <v>0</v>
      </c>
      <c r="Q63" s="12">
        <f>$I$11*$Q$11</f>
        <v>57480.289872750967</v>
      </c>
      <c r="R63" s="12">
        <f>$I$11*$R$11</f>
        <v>10817.905720673562</v>
      </c>
      <c r="S63" s="12">
        <f>$I$11*$S$11</f>
        <v>0</v>
      </c>
      <c r="T63" s="12">
        <f>$I$11*$T$11</f>
        <v>0</v>
      </c>
      <c r="U63" s="12">
        <f>$I$11*$U$11</f>
        <v>0</v>
      </c>
      <c r="V63" s="12">
        <f>$I$11*$V$11</f>
        <v>0</v>
      </c>
      <c r="W63" s="12">
        <f>$I$11*$W$11</f>
        <v>0</v>
      </c>
      <c r="X63" s="12">
        <f>$I$11*$X$11</f>
        <v>225733.85962400326</v>
      </c>
      <c r="Y63" s="12">
        <f>$I$11*$Y$11</f>
        <v>0</v>
      </c>
      <c r="Z63" s="12">
        <f>$I$11*$Z$11</f>
        <v>0</v>
      </c>
      <c r="AA63" s="12">
        <f>$I$11*$AA$11</f>
        <v>552634.54349757649</v>
      </c>
      <c r="AB63" s="12">
        <f ca="1">$I$11*$AB$11</f>
        <v>-21104.576131706726</v>
      </c>
      <c r="AC63" s="12">
        <f ca="1">$I$11*$AC$11</f>
        <v>0</v>
      </c>
      <c r="AD63" s="12">
        <f>$I$11*$AD$11</f>
        <v>5258.7913364141077</v>
      </c>
      <c r="AE63" s="12">
        <f>$I$11*$AE$11</f>
        <v>0</v>
      </c>
      <c r="AF63" s="12">
        <f ca="1">$I$11*$AF$11</f>
        <v>0</v>
      </c>
      <c r="AG63" s="12">
        <f ca="1">$I$11*$AG$11</f>
        <v>0</v>
      </c>
      <c r="AI63" s="12">
        <f>$I$11*$AI$11</f>
        <v>0</v>
      </c>
      <c r="AJ63" s="12">
        <f>$I$11*$AJ$11</f>
        <v>202.24929100291251</v>
      </c>
      <c r="AK63" s="12">
        <f>$I$11*$AK$11</f>
        <v>0</v>
      </c>
      <c r="AL63" s="12">
        <f>$I$11*$AL$11</f>
        <v>0</v>
      </c>
      <c r="AM63" s="12">
        <f>$I$11*$AM$11</f>
        <v>0</v>
      </c>
      <c r="AN63" s="12">
        <f>$I$11*$AN$11</f>
        <v>37333.611892079571</v>
      </c>
      <c r="AO63" s="12">
        <f>$I$11*$AO$11</f>
        <v>6733.1819055652259</v>
      </c>
      <c r="AP63" s="12">
        <f>$I$11*$AP$11</f>
        <v>0</v>
      </c>
      <c r="AQ63" s="12">
        <f>$I$11*$AQ$11</f>
        <v>0</v>
      </c>
      <c r="AR63" s="12">
        <f>$I$11*$AR$11</f>
        <v>0</v>
      </c>
      <c r="AS63" s="12">
        <f>$I$11*$AS$11</f>
        <v>0</v>
      </c>
      <c r="AT63" s="12">
        <f>$I$11*$AT$11</f>
        <v>0</v>
      </c>
      <c r="AU63" s="12">
        <f>$I$11*$AU$11</f>
        <v>253327.99948155673</v>
      </c>
      <c r="AV63" s="12">
        <f>$I$11*$AV$11</f>
        <v>0</v>
      </c>
      <c r="AW63" s="12">
        <f>$I$11*$AW$11</f>
        <v>0</v>
      </c>
      <c r="AX63" s="12">
        <f>$I$11*$AX$11</f>
        <v>496187.74292126525</v>
      </c>
      <c r="AY63" s="12">
        <f>$I$11*$AY$11</f>
        <v>0</v>
      </c>
      <c r="AZ63" s="12">
        <f>$I$11*$AZ$11</f>
        <v>0</v>
      </c>
      <c r="BA63" s="12">
        <f>$I$11*$BA$11</f>
        <v>489.04414483865554</v>
      </c>
      <c r="BB63" s="12">
        <f>$I$11*$BB$11</f>
        <v>0</v>
      </c>
      <c r="BC63" s="12">
        <f>$I$11*$BC$11</f>
        <v>0</v>
      </c>
      <c r="BD63" s="12">
        <f>$I$11*$BD$11</f>
        <v>0</v>
      </c>
    </row>
    <row r="64" spans="1:56" ht="11.25" customHeight="1" x14ac:dyDescent="0.25">
      <c r="A64" s="9" t="s">
        <v>33</v>
      </c>
      <c r="B64" s="9" t="s">
        <v>644</v>
      </c>
      <c r="C64" s="9" t="s">
        <v>645</v>
      </c>
      <c r="D64" s="9" t="s">
        <v>646</v>
      </c>
      <c r="E64" s="9" t="s">
        <v>647</v>
      </c>
      <c r="F64" s="9" t="s">
        <v>648</v>
      </c>
      <c r="G64" s="9" t="s">
        <v>651</v>
      </c>
      <c r="L64" s="12">
        <f>$I$12*$L$12</f>
        <v>0</v>
      </c>
      <c r="M64" s="12">
        <f>$I$12*$M$12</f>
        <v>3017.135953876988</v>
      </c>
      <c r="N64" s="12">
        <f ca="1">$I$12*$N$12</f>
        <v>0</v>
      </c>
      <c r="O64" s="12">
        <f>$I$12*$O$12</f>
        <v>0</v>
      </c>
      <c r="P64" s="12">
        <f>$I$12*$P$12</f>
        <v>0</v>
      </c>
      <c r="Q64" s="12">
        <f>$I$12*$Q$12</f>
        <v>672719.04724420945</v>
      </c>
      <c r="R64" s="12">
        <f>$I$12*$R$12</f>
        <v>126607.07254086276</v>
      </c>
      <c r="S64" s="12">
        <f>$I$12*$S$12</f>
        <v>0</v>
      </c>
      <c r="T64" s="12">
        <f>$I$12*$T$12</f>
        <v>0</v>
      </c>
      <c r="U64" s="12">
        <f>$I$12*$U$12</f>
        <v>0</v>
      </c>
      <c r="V64" s="12">
        <f>$I$12*$V$12</f>
        <v>0</v>
      </c>
      <c r="W64" s="12">
        <f>$I$12*$W$12</f>
        <v>0</v>
      </c>
      <c r="X64" s="12">
        <f>$I$12*$X$12</f>
        <v>0</v>
      </c>
      <c r="Y64" s="12">
        <f>$I$12*$Y$12</f>
        <v>0</v>
      </c>
      <c r="Z64" s="12">
        <f>$I$12*$Z$12</f>
        <v>0</v>
      </c>
      <c r="AA64" s="12">
        <f>$I$12*$AA$12</f>
        <v>0</v>
      </c>
      <c r="AB64" s="12">
        <f ca="1">$I$12*$AB$12</f>
        <v>-21753.479547378181</v>
      </c>
      <c r="AC64" s="12">
        <f ca="1">$I$12*$AC$12</f>
        <v>0</v>
      </c>
      <c r="AD64" s="12">
        <f>$I$12*$AD$12</f>
        <v>61546.124859848242</v>
      </c>
      <c r="AE64" s="12">
        <f>$I$12*$AE$12</f>
        <v>0</v>
      </c>
      <c r="AF64" s="12">
        <f ca="1">$I$12*$AF$12</f>
        <v>0</v>
      </c>
      <c r="AG64" s="12">
        <f ca="1">$I$12*$AG$12</f>
        <v>0</v>
      </c>
      <c r="AI64" s="12">
        <f>$I$12*$AI$12</f>
        <v>0</v>
      </c>
      <c r="AJ64" s="12">
        <f>$I$12*$AJ$12</f>
        <v>2367.0192104197295</v>
      </c>
      <c r="AK64" s="12">
        <f>$I$12*$AK$12</f>
        <v>0</v>
      </c>
      <c r="AL64" s="12">
        <f>$I$12*$AL$12</f>
        <v>0</v>
      </c>
      <c r="AM64" s="12">
        <f>$I$12*$AM$12</f>
        <v>0</v>
      </c>
      <c r="AN64" s="12">
        <f>$I$12*$AN$12</f>
        <v>436932.93610425683</v>
      </c>
      <c r="AO64" s="12">
        <f>$I$12*$AO$12</f>
        <v>78801.615761876266</v>
      </c>
      <c r="AP64" s="12">
        <f>$I$12*$AP$12</f>
        <v>0</v>
      </c>
      <c r="AQ64" s="12">
        <f>$I$12*$AQ$12</f>
        <v>0</v>
      </c>
      <c r="AR64" s="12">
        <f>$I$12*$AR$12</f>
        <v>0</v>
      </c>
      <c r="AS64" s="12">
        <f>$I$12*$AS$12</f>
        <v>0</v>
      </c>
      <c r="AT64" s="12">
        <f>$I$12*$AT$12</f>
        <v>0</v>
      </c>
      <c r="AU64" s="12">
        <f>$I$12*$AU$12</f>
        <v>0</v>
      </c>
      <c r="AV64" s="12">
        <f>$I$12*$AV$12</f>
        <v>0</v>
      </c>
      <c r="AW64" s="12">
        <f>$I$12*$AW$12</f>
        <v>0</v>
      </c>
      <c r="AX64" s="12">
        <f>$I$12*$AX$12</f>
        <v>0</v>
      </c>
      <c r="AY64" s="12">
        <f>$I$12*$AY$12</f>
        <v>0</v>
      </c>
      <c r="AZ64" s="12">
        <f>$I$12*$AZ$12</f>
        <v>0</v>
      </c>
      <c r="BA64" s="12">
        <f>$I$12*$BA$12</f>
        <v>5723.5151719751466</v>
      </c>
      <c r="BB64" s="12">
        <f>$I$12*$BB$12</f>
        <v>0</v>
      </c>
      <c r="BC64" s="12">
        <f>$I$12*$BC$12</f>
        <v>0</v>
      </c>
      <c r="BD64" s="12">
        <f>$I$12*$BD$12</f>
        <v>0</v>
      </c>
    </row>
    <row r="65" spans="1:56" ht="11.25" customHeight="1" x14ac:dyDescent="0.25">
      <c r="A65" s="9" t="s">
        <v>33</v>
      </c>
      <c r="B65" s="9" t="s">
        <v>644</v>
      </c>
      <c r="C65" s="9" t="s">
        <v>645</v>
      </c>
      <c r="D65" s="9" t="s">
        <v>646</v>
      </c>
      <c r="E65" s="9" t="s">
        <v>652</v>
      </c>
      <c r="F65" s="9" t="s">
        <v>653</v>
      </c>
      <c r="G65" s="9" t="s">
        <v>654</v>
      </c>
      <c r="L65" s="12">
        <f>$I$13*$L$13</f>
        <v>0</v>
      </c>
      <c r="M65" s="12">
        <f>$I$13*$M$13</f>
        <v>0</v>
      </c>
      <c r="N65" s="12">
        <f ca="1">$I$13*$N$13</f>
        <v>0</v>
      </c>
      <c r="O65" s="12">
        <f>$I$13*$O$13</f>
        <v>0</v>
      </c>
      <c r="P65" s="12">
        <f>$I$13*$P$13</f>
        <v>0</v>
      </c>
      <c r="Q65" s="12">
        <f>$I$13*$Q$13</f>
        <v>0</v>
      </c>
      <c r="R65" s="12">
        <f>$I$13*$R$13</f>
        <v>0</v>
      </c>
      <c r="S65" s="12">
        <f>$I$13*$S$13</f>
        <v>0</v>
      </c>
      <c r="T65" s="12">
        <f>$I$13*$T$13</f>
        <v>0</v>
      </c>
      <c r="U65" s="12">
        <f>$I$13*$U$13</f>
        <v>0</v>
      </c>
      <c r="V65" s="12">
        <f>$I$13*$V$13</f>
        <v>0</v>
      </c>
      <c r="W65" s="12">
        <f>$I$13*$W$13</f>
        <v>0</v>
      </c>
      <c r="X65" s="12">
        <f>$I$13*$X$13</f>
        <v>0</v>
      </c>
      <c r="Y65" s="12">
        <f>$I$13*$Y$13</f>
        <v>0</v>
      </c>
      <c r="Z65" s="12">
        <f>$I$13*$Z$13</f>
        <v>0</v>
      </c>
      <c r="AA65" s="12">
        <f>$I$13*$AA$13</f>
        <v>0</v>
      </c>
      <c r="AB65" s="12">
        <f ca="1">$I$13*$AB$13</f>
        <v>0</v>
      </c>
      <c r="AC65" s="12">
        <f ca="1">$I$13*$AC$13</f>
        <v>0</v>
      </c>
      <c r="AD65" s="12">
        <f>$I$13*$AD$13</f>
        <v>0</v>
      </c>
      <c r="AE65" s="12">
        <f>$I$13*$AE$13</f>
        <v>0</v>
      </c>
      <c r="AF65" s="12">
        <f ca="1">$I$13*$AF$13</f>
        <v>0</v>
      </c>
      <c r="AG65" s="12">
        <f ca="1">$I$13*$AG$13</f>
        <v>0</v>
      </c>
      <c r="AI65" s="12">
        <f>$I$13*$AI$13</f>
        <v>0</v>
      </c>
      <c r="AJ65" s="12">
        <f>$I$13*$AJ$13</f>
        <v>0</v>
      </c>
      <c r="AK65" s="12">
        <f>$I$13*$AK$13</f>
        <v>0</v>
      </c>
      <c r="AL65" s="12">
        <f>$I$13*$AL$13</f>
        <v>0</v>
      </c>
      <c r="AM65" s="12">
        <f>$I$13*$AM$13</f>
        <v>0</v>
      </c>
      <c r="AN65" s="12">
        <f>$I$13*$AN$13</f>
        <v>0</v>
      </c>
      <c r="AO65" s="12">
        <f>$I$13*$AO$13</f>
        <v>0</v>
      </c>
      <c r="AP65" s="12">
        <f>$I$13*$AP$13</f>
        <v>0</v>
      </c>
      <c r="AQ65" s="12">
        <f>$I$13*$AQ$13</f>
        <v>0</v>
      </c>
      <c r="AR65" s="12">
        <f>$I$13*$AR$13</f>
        <v>0</v>
      </c>
      <c r="AS65" s="12">
        <f>$I$13*$AS$13</f>
        <v>0</v>
      </c>
      <c r="AT65" s="12">
        <f>$I$13*$AT$13</f>
        <v>0</v>
      </c>
      <c r="AU65" s="12">
        <f>$I$13*$AU$13</f>
        <v>0</v>
      </c>
      <c r="AV65" s="12">
        <f>$I$13*$AV$13</f>
        <v>0</v>
      </c>
      <c r="AW65" s="12">
        <f>$I$13*$AW$13</f>
        <v>0</v>
      </c>
      <c r="AX65" s="12">
        <f>$I$13*$AX$13</f>
        <v>0</v>
      </c>
      <c r="AY65" s="12">
        <f>$I$13*$AY$13</f>
        <v>0</v>
      </c>
      <c r="AZ65" s="12">
        <f>$I$13*$AZ$13</f>
        <v>0</v>
      </c>
      <c r="BA65" s="12">
        <f>$I$13*$BA$13</f>
        <v>0</v>
      </c>
      <c r="BB65" s="12">
        <f>$I$13*$BB$13</f>
        <v>0</v>
      </c>
      <c r="BC65" s="12">
        <f>$I$13*$BC$13</f>
        <v>0</v>
      </c>
      <c r="BD65" s="12">
        <f>$I$13*$BD$13</f>
        <v>0</v>
      </c>
    </row>
    <row r="66" spans="1:56" ht="11.25" customHeight="1" x14ac:dyDescent="0.25">
      <c r="A66" s="9" t="s">
        <v>33</v>
      </c>
      <c r="B66" s="9" t="s">
        <v>644</v>
      </c>
      <c r="C66" s="9" t="s">
        <v>645</v>
      </c>
      <c r="D66" s="9" t="s">
        <v>646</v>
      </c>
      <c r="E66" s="9" t="s">
        <v>652</v>
      </c>
      <c r="F66" s="9" t="s">
        <v>653</v>
      </c>
      <c r="G66" s="9" t="s">
        <v>655</v>
      </c>
      <c r="L66" s="12">
        <f>$I$14*$L$14</f>
        <v>0</v>
      </c>
      <c r="M66" s="12">
        <f>$I$14*$M$14</f>
        <v>0</v>
      </c>
      <c r="N66" s="12">
        <f ca="1">$I$14*$N$14</f>
        <v>0</v>
      </c>
      <c r="O66" s="12">
        <f>$I$14*$O$14</f>
        <v>0</v>
      </c>
      <c r="P66" s="12">
        <f>$I$14*$P$14</f>
        <v>0</v>
      </c>
      <c r="Q66" s="12">
        <f>$I$14*$Q$14</f>
        <v>0</v>
      </c>
      <c r="R66" s="12">
        <f>$I$14*$R$14</f>
        <v>0</v>
      </c>
      <c r="S66" s="12">
        <f>$I$14*$S$14</f>
        <v>0</v>
      </c>
      <c r="T66" s="12">
        <f>$I$14*$T$14</f>
        <v>0</v>
      </c>
      <c r="U66" s="12">
        <f>$I$14*$U$14</f>
        <v>0</v>
      </c>
      <c r="V66" s="12">
        <f>$I$14*$V$14</f>
        <v>0</v>
      </c>
      <c r="W66" s="12">
        <f>$I$14*$W$14</f>
        <v>0</v>
      </c>
      <c r="X66" s="12">
        <f>$I$14*$X$14</f>
        <v>0</v>
      </c>
      <c r="Y66" s="12">
        <f>$I$14*$Y$14</f>
        <v>0</v>
      </c>
      <c r="Z66" s="12">
        <f>$I$14*$Z$14</f>
        <v>0</v>
      </c>
      <c r="AA66" s="12">
        <f>$I$14*$AA$14</f>
        <v>0</v>
      </c>
      <c r="AB66" s="12">
        <f ca="1">$I$14*$AB$14</f>
        <v>0</v>
      </c>
      <c r="AC66" s="12">
        <f ca="1">$I$14*$AC$14</f>
        <v>0</v>
      </c>
      <c r="AD66" s="12">
        <f>$I$14*$AD$14</f>
        <v>0</v>
      </c>
      <c r="AE66" s="12">
        <f>$I$14*$AE$14</f>
        <v>0</v>
      </c>
      <c r="AF66" s="12">
        <f ca="1">$I$14*$AF$14</f>
        <v>0</v>
      </c>
      <c r="AG66" s="12">
        <f ca="1">$I$14*$AG$14</f>
        <v>0</v>
      </c>
      <c r="AI66" s="12">
        <f>$I$14*$AI$14</f>
        <v>0</v>
      </c>
      <c r="AJ66" s="12">
        <f>$I$14*$AJ$14</f>
        <v>0</v>
      </c>
      <c r="AK66" s="12">
        <f>$I$14*$AK$14</f>
        <v>0</v>
      </c>
      <c r="AL66" s="12">
        <f>$I$14*$AL$14</f>
        <v>0</v>
      </c>
      <c r="AM66" s="12">
        <f>$I$14*$AM$14</f>
        <v>0</v>
      </c>
      <c r="AN66" s="12">
        <f>$I$14*$AN$14</f>
        <v>0</v>
      </c>
      <c r="AO66" s="12">
        <f>$I$14*$AO$14</f>
        <v>0</v>
      </c>
      <c r="AP66" s="12">
        <f>$I$14*$AP$14</f>
        <v>0</v>
      </c>
      <c r="AQ66" s="12">
        <f>$I$14*$AQ$14</f>
        <v>0</v>
      </c>
      <c r="AR66" s="12">
        <f>$I$14*$AR$14</f>
        <v>0</v>
      </c>
      <c r="AS66" s="12">
        <f>$I$14*$AS$14</f>
        <v>0</v>
      </c>
      <c r="AT66" s="12">
        <f>$I$14*$AT$14</f>
        <v>0</v>
      </c>
      <c r="AU66" s="12">
        <f>$I$14*$AU$14</f>
        <v>0</v>
      </c>
      <c r="AV66" s="12">
        <f>$I$14*$AV$14</f>
        <v>0</v>
      </c>
      <c r="AW66" s="12">
        <f>$I$14*$AW$14</f>
        <v>0</v>
      </c>
      <c r="AX66" s="12">
        <f>$I$14*$AX$14</f>
        <v>0</v>
      </c>
      <c r="AY66" s="12">
        <f>$I$14*$AY$14</f>
        <v>0</v>
      </c>
      <c r="AZ66" s="12">
        <f>$I$14*$AZ$14</f>
        <v>0</v>
      </c>
      <c r="BA66" s="12">
        <f>$I$14*$BA$14</f>
        <v>0</v>
      </c>
      <c r="BB66" s="12">
        <f>$I$14*$BB$14</f>
        <v>0</v>
      </c>
      <c r="BC66" s="12">
        <f>$I$14*$BC$14</f>
        <v>0</v>
      </c>
      <c r="BD66" s="12">
        <f>$I$14*$BD$14</f>
        <v>0</v>
      </c>
    </row>
    <row r="67" spans="1:56" ht="11.25" customHeight="1" x14ac:dyDescent="0.25">
      <c r="A67" s="9" t="s">
        <v>72</v>
      </c>
      <c r="B67" s="9" t="s">
        <v>656</v>
      </c>
      <c r="C67" s="9" t="s">
        <v>657</v>
      </c>
      <c r="D67" s="9" t="s">
        <v>658</v>
      </c>
      <c r="E67" s="9" t="s">
        <v>659</v>
      </c>
      <c r="F67" s="9" t="s">
        <v>660</v>
      </c>
      <c r="G67" s="9" t="s">
        <v>661</v>
      </c>
      <c r="L67" s="12">
        <f>$I$15*$L$15</f>
        <v>0</v>
      </c>
      <c r="M67" s="12">
        <f>$I$15*$M$15</f>
        <v>6.6556381435888419E-11</v>
      </c>
      <c r="N67" s="12">
        <f ca="1">$I$15*$N$15</f>
        <v>0</v>
      </c>
      <c r="O67" s="12">
        <f>$I$15*$O$15</f>
        <v>0</v>
      </c>
      <c r="P67" s="12">
        <f>$I$15*$P$15</f>
        <v>0</v>
      </c>
      <c r="Q67" s="12">
        <f>$I$15*$Q$15</f>
        <v>0</v>
      </c>
      <c r="R67" s="12">
        <f>$I$15*$R$15</f>
        <v>0</v>
      </c>
      <c r="S67" s="12">
        <f>$I$15*$S$15</f>
        <v>0</v>
      </c>
      <c r="T67" s="12">
        <f>$I$15*$T$15</f>
        <v>0</v>
      </c>
      <c r="U67" s="12">
        <f>$I$15*$U$15</f>
        <v>0</v>
      </c>
      <c r="V67" s="12">
        <f>$I$15*$V$15</f>
        <v>0</v>
      </c>
      <c r="W67" s="12">
        <f>$I$15*$W$15</f>
        <v>0</v>
      </c>
      <c r="X67" s="12">
        <f>$I$15*$X$15</f>
        <v>0</v>
      </c>
      <c r="Y67" s="12">
        <f>$I$15*$Y$15</f>
        <v>0</v>
      </c>
      <c r="Z67" s="12">
        <f>$I$15*$Z$15</f>
        <v>0</v>
      </c>
      <c r="AA67" s="12">
        <f>$I$15*$AA$15</f>
        <v>2.6151472266419892E-8</v>
      </c>
      <c r="AB67" s="12">
        <f ca="1">$I$15*$AB$15</f>
        <v>-6.5371866422141309E-10</v>
      </c>
      <c r="AC67" s="12">
        <f ca="1">$I$15*$AC$15</f>
        <v>0</v>
      </c>
      <c r="AD67" s="12">
        <f>$I$15*$AD$15</f>
        <v>0</v>
      </c>
      <c r="AE67" s="12">
        <f>$I$15*$AE$15</f>
        <v>0</v>
      </c>
      <c r="AF67" s="12">
        <f ca="1">$I$15*$AF$15</f>
        <v>0</v>
      </c>
      <c r="AG67" s="12">
        <f ca="1">$I$15*$AG$15</f>
        <v>0</v>
      </c>
      <c r="AI67" s="12">
        <f>$I$15*$AI$15</f>
        <v>0</v>
      </c>
      <c r="AJ67" s="12">
        <f>$I$15*$AJ$15</f>
        <v>9.7767218605467114E-11</v>
      </c>
      <c r="AK67" s="12">
        <f>$I$15*$AK$15</f>
        <v>0</v>
      </c>
      <c r="AL67" s="12">
        <f>$I$15*$AL$15</f>
        <v>0</v>
      </c>
      <c r="AM67" s="12">
        <f>$I$15*$AM$15</f>
        <v>0</v>
      </c>
      <c r="AN67" s="12">
        <f>$I$15*$AN$15</f>
        <v>0</v>
      </c>
      <c r="AO67" s="12">
        <f>$I$15*$AO$15</f>
        <v>0</v>
      </c>
      <c r="AP67" s="12">
        <f>$I$15*$AP$15</f>
        <v>0</v>
      </c>
      <c r="AQ67" s="12">
        <f>$I$15*$AQ$15</f>
        <v>0</v>
      </c>
      <c r="AR67" s="12">
        <f>$I$15*$AR$15</f>
        <v>0</v>
      </c>
      <c r="AS67" s="12">
        <f>$I$15*$AS$15</f>
        <v>0</v>
      </c>
      <c r="AT67" s="12">
        <f>$I$15*$AT$15</f>
        <v>0</v>
      </c>
      <c r="AU67" s="12">
        <f>$I$15*$AU$15</f>
        <v>0</v>
      </c>
      <c r="AV67" s="12">
        <f>$I$15*$AV$15</f>
        <v>0</v>
      </c>
      <c r="AW67" s="12">
        <f>$I$15*$AW$15</f>
        <v>0</v>
      </c>
      <c r="AX67" s="12">
        <f>$I$15*$AX$15</f>
        <v>3.4891830336562405E-8</v>
      </c>
      <c r="AY67" s="12">
        <f>$I$15*$AY$15</f>
        <v>0</v>
      </c>
      <c r="AZ67" s="12">
        <f>$I$15*$AZ$15</f>
        <v>0</v>
      </c>
      <c r="BA67" s="12">
        <f>$I$15*$BA$15</f>
        <v>0</v>
      </c>
      <c r="BB67" s="12">
        <f>$I$15*$BB$15</f>
        <v>0</v>
      </c>
      <c r="BC67" s="12">
        <f>$I$15*$BC$15</f>
        <v>0</v>
      </c>
      <c r="BD67" s="12">
        <f>$I$15*$BD$15</f>
        <v>0</v>
      </c>
    </row>
    <row r="68" spans="1:56" ht="11.25" customHeight="1" x14ac:dyDescent="0.25">
      <c r="A68" s="9" t="s">
        <v>72</v>
      </c>
      <c r="B68" s="9" t="s">
        <v>656</v>
      </c>
      <c r="C68" s="9" t="s">
        <v>657</v>
      </c>
      <c r="D68" s="9" t="s">
        <v>658</v>
      </c>
      <c r="E68" s="9" t="s">
        <v>662</v>
      </c>
      <c r="F68" s="9" t="s">
        <v>663</v>
      </c>
      <c r="G68" s="9" t="s">
        <v>664</v>
      </c>
      <c r="L68" s="12">
        <f>$I$16*$L$16</f>
        <v>0</v>
      </c>
      <c r="M68" s="12">
        <f>$I$16*$M$16</f>
        <v>6.6556381435888419E-11</v>
      </c>
      <c r="N68" s="12">
        <f ca="1">$I$16*$N$16</f>
        <v>0</v>
      </c>
      <c r="O68" s="12">
        <f>$I$16*$O$16</f>
        <v>0</v>
      </c>
      <c r="P68" s="12">
        <f>$I$16*$P$16</f>
        <v>0</v>
      </c>
      <c r="Q68" s="12">
        <f>$I$16*$Q$16</f>
        <v>0</v>
      </c>
      <c r="R68" s="12">
        <f>$I$16*$R$16</f>
        <v>0</v>
      </c>
      <c r="S68" s="12">
        <f>$I$16*$S$16</f>
        <v>0</v>
      </c>
      <c r="T68" s="12">
        <f>$I$16*$T$16</f>
        <v>0</v>
      </c>
      <c r="U68" s="12">
        <f>$I$16*$U$16</f>
        <v>0</v>
      </c>
      <c r="V68" s="12">
        <f>$I$16*$V$16</f>
        <v>0</v>
      </c>
      <c r="W68" s="12">
        <f>$I$16*$W$16</f>
        <v>0</v>
      </c>
      <c r="X68" s="12">
        <f>$I$16*$X$16</f>
        <v>0</v>
      </c>
      <c r="Y68" s="12">
        <f>$I$16*$Y$16</f>
        <v>0</v>
      </c>
      <c r="Z68" s="12">
        <f>$I$16*$Z$16</f>
        <v>0</v>
      </c>
      <c r="AA68" s="12">
        <f>$I$16*$AA$16</f>
        <v>7.7840053697699313E-8</v>
      </c>
      <c r="AB68" s="12">
        <f ca="1">$I$16*$AB$16</f>
        <v>-1.9424756043410384E-9</v>
      </c>
      <c r="AC68" s="12">
        <f ca="1">$I$16*$AC$16</f>
        <v>0</v>
      </c>
      <c r="AD68" s="12">
        <f>$I$16*$AD$16</f>
        <v>0</v>
      </c>
      <c r="AE68" s="12">
        <f>$I$16*$AE$16</f>
        <v>0</v>
      </c>
      <c r="AF68" s="12">
        <f ca="1">$I$16*$AF$16</f>
        <v>0</v>
      </c>
      <c r="AG68" s="12">
        <f ca="1">$I$16*$AG$16</f>
        <v>0</v>
      </c>
      <c r="AI68" s="12">
        <f>$I$16*$AI$16</f>
        <v>0</v>
      </c>
      <c r="AJ68" s="12">
        <f>$I$16*$AJ$16</f>
        <v>9.7767218605467114E-11</v>
      </c>
      <c r="AK68" s="12">
        <f>$I$16*$AK$16</f>
        <v>0</v>
      </c>
      <c r="AL68" s="12">
        <f>$I$16*$AL$16</f>
        <v>0</v>
      </c>
      <c r="AM68" s="12">
        <f>$I$16*$AM$16</f>
        <v>0</v>
      </c>
      <c r="AN68" s="12">
        <f>$I$16*$AN$16</f>
        <v>0</v>
      </c>
      <c r="AO68" s="12">
        <f>$I$16*$AO$16</f>
        <v>0</v>
      </c>
      <c r="AP68" s="12">
        <f>$I$16*$AP$16</f>
        <v>0</v>
      </c>
      <c r="AQ68" s="12">
        <f>$I$16*$AQ$16</f>
        <v>0</v>
      </c>
      <c r="AR68" s="12">
        <f>$I$16*$AR$16</f>
        <v>0</v>
      </c>
      <c r="AS68" s="12">
        <f>$I$16*$AS$16</f>
        <v>0</v>
      </c>
      <c r="AT68" s="12">
        <f>$I$16*$AT$16</f>
        <v>0</v>
      </c>
      <c r="AU68" s="12">
        <f>$I$16*$AU$16</f>
        <v>0</v>
      </c>
      <c r="AV68" s="12">
        <f>$I$16*$AV$16</f>
        <v>0</v>
      </c>
      <c r="AW68" s="12">
        <f>$I$16*$AW$16</f>
        <v>0</v>
      </c>
      <c r="AX68" s="12">
        <f>$I$16*$AX$16</f>
        <v>7.0989668548647793E-8</v>
      </c>
      <c r="AY68" s="12">
        <f>$I$16*$AY$16</f>
        <v>0</v>
      </c>
      <c r="AZ68" s="12">
        <f>$I$16*$AZ$16</f>
        <v>0</v>
      </c>
      <c r="BA68" s="12">
        <f>$I$16*$BA$16</f>
        <v>0</v>
      </c>
      <c r="BB68" s="12">
        <f>$I$16*$BB$16</f>
        <v>0</v>
      </c>
      <c r="BC68" s="12">
        <f>$I$16*$BC$16</f>
        <v>0</v>
      </c>
      <c r="BD68" s="12">
        <f>$I$16*$BD$16</f>
        <v>0</v>
      </c>
    </row>
    <row r="69" spans="1:56" ht="11.25" customHeight="1" x14ac:dyDescent="0.25">
      <c r="A69" s="9" t="s">
        <v>22</v>
      </c>
      <c r="B69" s="9" t="s">
        <v>665</v>
      </c>
      <c r="C69" s="9" t="s">
        <v>666</v>
      </c>
      <c r="D69" s="9" t="s">
        <v>667</v>
      </c>
      <c r="E69" s="9" t="s">
        <v>668</v>
      </c>
      <c r="F69" s="9" t="s">
        <v>669</v>
      </c>
      <c r="G69" s="9" t="s">
        <v>670</v>
      </c>
      <c r="L69" s="12">
        <f>$I$17*$L$17</f>
        <v>0</v>
      </c>
      <c r="M69" s="12">
        <f>$I$17*$M$17</f>
        <v>0</v>
      </c>
      <c r="N69" s="12">
        <f ca="1">$I$17*$N$17</f>
        <v>0</v>
      </c>
      <c r="O69" s="12">
        <f>$I$17*$O$17</f>
        <v>0</v>
      </c>
      <c r="P69" s="12">
        <f>$I$17*$P$17</f>
        <v>0</v>
      </c>
      <c r="Q69" s="12">
        <f>$I$17*$Q$17</f>
        <v>0</v>
      </c>
      <c r="R69" s="12">
        <f>$I$17*$R$17</f>
        <v>0</v>
      </c>
      <c r="S69" s="12">
        <f>$I$17*$S$17</f>
        <v>0</v>
      </c>
      <c r="T69" s="12">
        <f>$I$17*$T$17</f>
        <v>0</v>
      </c>
      <c r="U69" s="12">
        <f>$I$17*$U$17</f>
        <v>0</v>
      </c>
      <c r="V69" s="12">
        <f>$I$17*$V$17</f>
        <v>0</v>
      </c>
      <c r="W69" s="12">
        <f>$I$17*$W$17</f>
        <v>0</v>
      </c>
      <c r="X69" s="12">
        <f>$I$17*$X$17</f>
        <v>0</v>
      </c>
      <c r="Y69" s="12">
        <f>$I$17*$Y$17</f>
        <v>0</v>
      </c>
      <c r="Z69" s="12">
        <f>$I$17*$Z$17</f>
        <v>0</v>
      </c>
      <c r="AA69" s="12">
        <f>$I$17*$AA$17</f>
        <v>0</v>
      </c>
      <c r="AB69" s="12">
        <f ca="1">$I$17*$AB$17</f>
        <v>0</v>
      </c>
      <c r="AC69" s="12">
        <f ca="1">$I$17*$AC$17</f>
        <v>0</v>
      </c>
      <c r="AD69" s="12">
        <f>$I$17*$AD$17</f>
        <v>0</v>
      </c>
      <c r="AE69" s="12">
        <f>$I$17*$AE$17</f>
        <v>0</v>
      </c>
      <c r="AF69" s="12">
        <f ca="1">$I$17*$AF$17</f>
        <v>0</v>
      </c>
      <c r="AG69" s="12">
        <f ca="1">$I$17*$AG$17</f>
        <v>0</v>
      </c>
      <c r="AI69" s="12">
        <f>$I$17*$AI$17</f>
        <v>0</v>
      </c>
      <c r="AJ69" s="12">
        <f>$I$17*$AJ$17</f>
        <v>0</v>
      </c>
      <c r="AK69" s="12">
        <f>$I$17*$AK$17</f>
        <v>0</v>
      </c>
      <c r="AL69" s="12">
        <f>$I$17*$AL$17</f>
        <v>0</v>
      </c>
      <c r="AM69" s="12">
        <f>$I$17*$AM$17</f>
        <v>0</v>
      </c>
      <c r="AN69" s="12">
        <f>$I$17*$AN$17</f>
        <v>0</v>
      </c>
      <c r="AO69" s="12">
        <f>$I$17*$AO$17</f>
        <v>0</v>
      </c>
      <c r="AP69" s="12">
        <f>$I$17*$AP$17</f>
        <v>0</v>
      </c>
      <c r="AQ69" s="12">
        <f>$I$17*$AQ$17</f>
        <v>0</v>
      </c>
      <c r="AR69" s="12">
        <f>$I$17*$AR$17</f>
        <v>0</v>
      </c>
      <c r="AS69" s="12">
        <f>$I$17*$AS$17</f>
        <v>0</v>
      </c>
      <c r="AT69" s="12">
        <f>$I$17*$AT$17</f>
        <v>0</v>
      </c>
      <c r="AU69" s="12">
        <f>$I$17*$AU$17</f>
        <v>0</v>
      </c>
      <c r="AV69" s="12">
        <f>$I$17*$AV$17</f>
        <v>0</v>
      </c>
      <c r="AW69" s="12">
        <f>$I$17*$AW$17</f>
        <v>0</v>
      </c>
      <c r="AX69" s="12">
        <f>$I$17*$AX$17</f>
        <v>0</v>
      </c>
      <c r="AY69" s="12">
        <f>$I$17*$AY$17</f>
        <v>0</v>
      </c>
      <c r="AZ69" s="12">
        <f>$I$17*$AZ$17</f>
        <v>0</v>
      </c>
      <c r="BA69" s="12">
        <f>$I$17*$BA$17</f>
        <v>0</v>
      </c>
      <c r="BB69" s="12">
        <f>$I$17*$BB$17</f>
        <v>0</v>
      </c>
      <c r="BC69" s="12">
        <f>$I$17*$BC$17</f>
        <v>0</v>
      </c>
      <c r="BD69" s="12">
        <f>$I$17*$BD$17</f>
        <v>0</v>
      </c>
    </row>
    <row r="70" spans="1:56" ht="11.25" customHeight="1" x14ac:dyDescent="0.25">
      <c r="A70" s="9" t="s">
        <v>22</v>
      </c>
      <c r="B70" s="9" t="s">
        <v>665</v>
      </c>
      <c r="C70" s="9" t="s">
        <v>666</v>
      </c>
      <c r="D70" s="9" t="s">
        <v>667</v>
      </c>
      <c r="E70" s="9" t="s">
        <v>668</v>
      </c>
      <c r="F70" s="9" t="s">
        <v>669</v>
      </c>
      <c r="G70" s="9" t="s">
        <v>671</v>
      </c>
      <c r="L70" s="12">
        <f>$I$18*$L$18</f>
        <v>0</v>
      </c>
      <c r="M70" s="12">
        <f>$I$18*$M$18</f>
        <v>0</v>
      </c>
      <c r="N70" s="12">
        <f ca="1">$I$18*$N$18</f>
        <v>0</v>
      </c>
      <c r="O70" s="12">
        <f>$I$18*$O$18</f>
        <v>0</v>
      </c>
      <c r="P70" s="12">
        <f>$I$18*$P$18</f>
        <v>0</v>
      </c>
      <c r="Q70" s="12">
        <f>$I$18*$Q$18</f>
        <v>0</v>
      </c>
      <c r="R70" s="12">
        <f>$I$18*$R$18</f>
        <v>0</v>
      </c>
      <c r="S70" s="12">
        <f>$I$18*$S$18</f>
        <v>0</v>
      </c>
      <c r="T70" s="12">
        <f>$I$18*$T$18</f>
        <v>0</v>
      </c>
      <c r="U70" s="12">
        <f>$I$18*$U$18</f>
        <v>0</v>
      </c>
      <c r="V70" s="12">
        <f>$I$18*$V$18</f>
        <v>0</v>
      </c>
      <c r="W70" s="12">
        <f>$I$18*$W$18</f>
        <v>0</v>
      </c>
      <c r="X70" s="12">
        <f>$I$18*$X$18</f>
        <v>0</v>
      </c>
      <c r="Y70" s="12">
        <f>$I$18*$Y$18</f>
        <v>0</v>
      </c>
      <c r="Z70" s="12">
        <f>$I$18*$Z$18</f>
        <v>0</v>
      </c>
      <c r="AA70" s="12">
        <f>$I$18*$AA$18</f>
        <v>0</v>
      </c>
      <c r="AB70" s="12">
        <f ca="1">$I$18*$AB$18</f>
        <v>0</v>
      </c>
      <c r="AC70" s="12">
        <f ca="1">$I$18*$AC$18</f>
        <v>0</v>
      </c>
      <c r="AD70" s="12">
        <f>$I$18*$AD$18</f>
        <v>0</v>
      </c>
      <c r="AE70" s="12">
        <f>$I$18*$AE$18</f>
        <v>0</v>
      </c>
      <c r="AF70" s="12">
        <f ca="1">$I$18*$AF$18</f>
        <v>0</v>
      </c>
      <c r="AG70" s="12">
        <f ca="1">$I$18*$AG$18</f>
        <v>0</v>
      </c>
      <c r="AI70" s="12">
        <f>$I$18*$AI$18</f>
        <v>0</v>
      </c>
      <c r="AJ70" s="12">
        <f>$I$18*$AJ$18</f>
        <v>0</v>
      </c>
      <c r="AK70" s="12">
        <f>$I$18*$AK$18</f>
        <v>0</v>
      </c>
      <c r="AL70" s="12">
        <f>$I$18*$AL$18</f>
        <v>0</v>
      </c>
      <c r="AM70" s="12">
        <f>$I$18*$AM$18</f>
        <v>0</v>
      </c>
      <c r="AN70" s="12">
        <f>$I$18*$AN$18</f>
        <v>0</v>
      </c>
      <c r="AO70" s="12">
        <f>$I$18*$AO$18</f>
        <v>0</v>
      </c>
      <c r="AP70" s="12">
        <f>$I$18*$AP$18</f>
        <v>0</v>
      </c>
      <c r="AQ70" s="12">
        <f>$I$18*$AQ$18</f>
        <v>0</v>
      </c>
      <c r="AR70" s="12">
        <f>$I$18*$AR$18</f>
        <v>0</v>
      </c>
      <c r="AS70" s="12">
        <f>$I$18*$AS$18</f>
        <v>0</v>
      </c>
      <c r="AT70" s="12">
        <f>$I$18*$AT$18</f>
        <v>0</v>
      </c>
      <c r="AU70" s="12">
        <f>$I$18*$AU$18</f>
        <v>0</v>
      </c>
      <c r="AV70" s="12">
        <f>$I$18*$AV$18</f>
        <v>0</v>
      </c>
      <c r="AW70" s="12">
        <f>$I$18*$AW$18</f>
        <v>0</v>
      </c>
      <c r="AX70" s="12">
        <f>$I$18*$AX$18</f>
        <v>0</v>
      </c>
      <c r="AY70" s="12">
        <f>$I$18*$AY$18</f>
        <v>0</v>
      </c>
      <c r="AZ70" s="12">
        <f>$I$18*$AZ$18</f>
        <v>0</v>
      </c>
      <c r="BA70" s="12">
        <f>$I$18*$BA$18</f>
        <v>0</v>
      </c>
      <c r="BB70" s="12">
        <f>$I$18*$BB$18</f>
        <v>0</v>
      </c>
      <c r="BC70" s="12">
        <f>$I$18*$BC$18</f>
        <v>0</v>
      </c>
      <c r="BD70" s="12">
        <f>$I$18*$BD$18</f>
        <v>0</v>
      </c>
    </row>
    <row r="71" spans="1:56" ht="11.25" customHeight="1" x14ac:dyDescent="0.25">
      <c r="A71" s="9" t="s">
        <v>22</v>
      </c>
      <c r="B71" s="9" t="s">
        <v>665</v>
      </c>
      <c r="C71" s="9" t="s">
        <v>666</v>
      </c>
      <c r="D71" s="9" t="s">
        <v>667</v>
      </c>
      <c r="E71" s="9" t="s">
        <v>668</v>
      </c>
      <c r="F71" s="9" t="s">
        <v>669</v>
      </c>
      <c r="G71" s="9" t="s">
        <v>672</v>
      </c>
      <c r="L71" s="12">
        <f>$I$19*$L$19</f>
        <v>0</v>
      </c>
      <c r="M71" s="12">
        <f>$I$19*$M$19</f>
        <v>0</v>
      </c>
      <c r="N71" s="12">
        <f ca="1">$I$19*$N$19</f>
        <v>0</v>
      </c>
      <c r="O71" s="12">
        <f>$I$19*$O$19</f>
        <v>0</v>
      </c>
      <c r="P71" s="12">
        <f>$I$19*$P$19</f>
        <v>0</v>
      </c>
      <c r="Q71" s="12">
        <f>$I$19*$Q$19</f>
        <v>0</v>
      </c>
      <c r="R71" s="12">
        <f>$I$19*$R$19</f>
        <v>0</v>
      </c>
      <c r="S71" s="12">
        <f>$I$19*$S$19</f>
        <v>0</v>
      </c>
      <c r="T71" s="12">
        <f>$I$19*$T$19</f>
        <v>0</v>
      </c>
      <c r="U71" s="12">
        <f>$I$19*$U$19</f>
        <v>0</v>
      </c>
      <c r="V71" s="12">
        <f>$I$19*$V$19</f>
        <v>0</v>
      </c>
      <c r="W71" s="12">
        <f>$I$19*$W$19</f>
        <v>0</v>
      </c>
      <c r="X71" s="12">
        <f>$I$19*$X$19</f>
        <v>0</v>
      </c>
      <c r="Y71" s="12">
        <f>$I$19*$Y$19</f>
        <v>0</v>
      </c>
      <c r="Z71" s="12">
        <f>$I$19*$Z$19</f>
        <v>0</v>
      </c>
      <c r="AA71" s="12">
        <f>$I$19*$AA$19</f>
        <v>0</v>
      </c>
      <c r="AB71" s="12">
        <f ca="1">$I$19*$AB$19</f>
        <v>0</v>
      </c>
      <c r="AC71" s="12">
        <f ca="1">$I$19*$AC$19</f>
        <v>0</v>
      </c>
      <c r="AD71" s="12">
        <f>$I$19*$AD$19</f>
        <v>0</v>
      </c>
      <c r="AE71" s="12">
        <f>$I$19*$AE$19</f>
        <v>0</v>
      </c>
      <c r="AF71" s="12">
        <f ca="1">$I$19*$AF$19</f>
        <v>0</v>
      </c>
      <c r="AG71" s="12">
        <f ca="1">$I$19*$AG$19</f>
        <v>0</v>
      </c>
      <c r="AI71" s="12">
        <f>$I$19*$AI$19</f>
        <v>0</v>
      </c>
      <c r="AJ71" s="12">
        <f>$I$19*$AJ$19</f>
        <v>0</v>
      </c>
      <c r="AK71" s="12">
        <f>$I$19*$AK$19</f>
        <v>0</v>
      </c>
      <c r="AL71" s="12">
        <f>$I$19*$AL$19</f>
        <v>0</v>
      </c>
      <c r="AM71" s="12">
        <f>$I$19*$AM$19</f>
        <v>0</v>
      </c>
      <c r="AN71" s="12">
        <f>$I$19*$AN$19</f>
        <v>0</v>
      </c>
      <c r="AO71" s="12">
        <f>$I$19*$AO$19</f>
        <v>0</v>
      </c>
      <c r="AP71" s="12">
        <f>$I$19*$AP$19</f>
        <v>0</v>
      </c>
      <c r="AQ71" s="12">
        <f>$I$19*$AQ$19</f>
        <v>0</v>
      </c>
      <c r="AR71" s="12">
        <f>$I$19*$AR$19</f>
        <v>0</v>
      </c>
      <c r="AS71" s="12">
        <f>$I$19*$AS$19</f>
        <v>0</v>
      </c>
      <c r="AT71" s="12">
        <f>$I$19*$AT$19</f>
        <v>0</v>
      </c>
      <c r="AU71" s="12">
        <f>$I$19*$AU$19</f>
        <v>0</v>
      </c>
      <c r="AV71" s="12">
        <f>$I$19*$AV$19</f>
        <v>0</v>
      </c>
      <c r="AW71" s="12">
        <f>$I$19*$AW$19</f>
        <v>0</v>
      </c>
      <c r="AX71" s="12">
        <f>$I$19*$AX$19</f>
        <v>0</v>
      </c>
      <c r="AY71" s="12">
        <f>$I$19*$AY$19</f>
        <v>0</v>
      </c>
      <c r="AZ71" s="12">
        <f>$I$19*$AZ$19</f>
        <v>0</v>
      </c>
      <c r="BA71" s="12">
        <f>$I$19*$BA$19</f>
        <v>0</v>
      </c>
      <c r="BB71" s="12">
        <f>$I$19*$BB$19</f>
        <v>0</v>
      </c>
      <c r="BC71" s="12">
        <f>$I$19*$BC$19</f>
        <v>0</v>
      </c>
      <c r="BD71" s="12">
        <f>$I$19*$BD$19</f>
        <v>0</v>
      </c>
    </row>
    <row r="72" spans="1:56" ht="11.25" customHeight="1" x14ac:dyDescent="0.25">
      <c r="A72" s="9" t="s">
        <v>22</v>
      </c>
      <c r="B72" s="9" t="s">
        <v>673</v>
      </c>
      <c r="C72" s="9" t="s">
        <v>674</v>
      </c>
      <c r="D72" s="9" t="s">
        <v>675</v>
      </c>
      <c r="E72" s="9" t="s">
        <v>676</v>
      </c>
      <c r="F72" s="9" t="s">
        <v>677</v>
      </c>
      <c r="G72" s="9" t="s">
        <v>678</v>
      </c>
      <c r="L72" s="12">
        <f>$I$20*$L$20</f>
        <v>0</v>
      </c>
      <c r="M72" s="12">
        <f>$I$20*$M$20</f>
        <v>1757.646571123096</v>
      </c>
      <c r="N72" s="12">
        <f ca="1">$I$20*$N$20</f>
        <v>0</v>
      </c>
      <c r="O72" s="12">
        <f>$I$20*$O$20</f>
        <v>0</v>
      </c>
      <c r="P72" s="12">
        <f>$I$20*$P$20</f>
        <v>0</v>
      </c>
      <c r="Q72" s="12">
        <f>$I$20*$Q$20</f>
        <v>263477.82534424699</v>
      </c>
      <c r="R72" s="12">
        <f>$I$20*$R$20</f>
        <v>41653.125889109695</v>
      </c>
      <c r="S72" s="12">
        <f>$I$20*$S$20</f>
        <v>0</v>
      </c>
      <c r="T72" s="12">
        <f>$I$20*$T$20</f>
        <v>0</v>
      </c>
      <c r="U72" s="12">
        <f>$I$20*$U$20</f>
        <v>0</v>
      </c>
      <c r="V72" s="12">
        <f>$I$20*$V$20</f>
        <v>0</v>
      </c>
      <c r="W72" s="12">
        <f>$I$20*$W$20</f>
        <v>0</v>
      </c>
      <c r="X72" s="12">
        <f>$I$20*$X$20</f>
        <v>112513.27138773171</v>
      </c>
      <c r="Y72" s="12">
        <f>$I$20*$Y$20</f>
        <v>0</v>
      </c>
      <c r="Z72" s="12">
        <f>$I$20*$Z$20</f>
        <v>0</v>
      </c>
      <c r="AA72" s="12">
        <f>$I$20*$AA$20</f>
        <v>391252.1013577772</v>
      </c>
      <c r="AB72" s="12">
        <f ca="1">$I$20*$AB$20</f>
        <v>-21217.982638491514</v>
      </c>
      <c r="AC72" s="12">
        <f ca="1">$I$20*$AC$20</f>
        <v>0</v>
      </c>
      <c r="AD72" s="12">
        <f>$I$20*$AD$20</f>
        <v>40416.725894008676</v>
      </c>
      <c r="AE72" s="12">
        <f>$I$20*$AE$20</f>
        <v>0</v>
      </c>
      <c r="AF72" s="12">
        <f ca="1">$I$20*$AF$20</f>
        <v>0</v>
      </c>
      <c r="AG72" s="12">
        <f ca="1">$I$20*$AG$20</f>
        <v>0</v>
      </c>
      <c r="AI72" s="12">
        <f>$I$20*$AI$20</f>
        <v>0</v>
      </c>
      <c r="AJ72" s="12">
        <f>$I$20*$AJ$20</f>
        <v>1403.0407326828431</v>
      </c>
      <c r="AK72" s="12">
        <f>$I$20*$AK$20</f>
        <v>0</v>
      </c>
      <c r="AL72" s="12">
        <f>$I$20*$AL$20</f>
        <v>0</v>
      </c>
      <c r="AM72" s="12">
        <f>$I$20*$AM$20</f>
        <v>0</v>
      </c>
      <c r="AN72" s="12">
        <f>$I$20*$AN$20</f>
        <v>165228.57695473841</v>
      </c>
      <c r="AO72" s="12">
        <f>$I$20*$AO$20</f>
        <v>25925.357531154521</v>
      </c>
      <c r="AP72" s="12">
        <f>$I$20*$AP$20</f>
        <v>0</v>
      </c>
      <c r="AQ72" s="12">
        <f>$I$20*$AQ$20</f>
        <v>0</v>
      </c>
      <c r="AR72" s="12">
        <f>$I$20*$AR$20</f>
        <v>0</v>
      </c>
      <c r="AS72" s="12">
        <f>$I$20*$AS$20</f>
        <v>0</v>
      </c>
      <c r="AT72" s="12">
        <f>$I$20*$AT$20</f>
        <v>0</v>
      </c>
      <c r="AU72" s="12">
        <f>$I$20*$AU$20</f>
        <v>132139.03330857007</v>
      </c>
      <c r="AV72" s="12">
        <f>$I$20*$AV$20</f>
        <v>0</v>
      </c>
      <c r="AW72" s="12">
        <f>$I$20*$AW$20</f>
        <v>0</v>
      </c>
      <c r="AX72" s="12">
        <f>$I$20*$AX$20</f>
        <v>330610.54392677749</v>
      </c>
      <c r="AY72" s="12">
        <f>$I$20*$AY$20</f>
        <v>0</v>
      </c>
      <c r="AZ72" s="12">
        <f>$I$20*$AZ$20</f>
        <v>0</v>
      </c>
      <c r="BA72" s="12">
        <f>$I$20*$BA$20</f>
        <v>4876.7805392159662</v>
      </c>
      <c r="BB72" s="12">
        <f>$I$20*$BB$20</f>
        <v>0</v>
      </c>
      <c r="BC72" s="12">
        <f>$I$20*$BC$20</f>
        <v>0</v>
      </c>
      <c r="BD72" s="12">
        <f>$I$20*$BD$20</f>
        <v>0</v>
      </c>
    </row>
    <row r="73" spans="1:56" ht="11.25" customHeight="1" x14ac:dyDescent="0.25">
      <c r="A73" s="9" t="s">
        <v>22</v>
      </c>
      <c r="B73" s="9" t="s">
        <v>673</v>
      </c>
      <c r="C73" s="9" t="s">
        <v>674</v>
      </c>
      <c r="D73" s="9" t="s">
        <v>679</v>
      </c>
      <c r="E73" s="9" t="s">
        <v>680</v>
      </c>
      <c r="F73" s="9" t="s">
        <v>681</v>
      </c>
      <c r="G73" s="9" t="s">
        <v>682</v>
      </c>
      <c r="L73" s="12">
        <f>$I$21*$L$21</f>
        <v>0</v>
      </c>
      <c r="M73" s="12">
        <f>$I$21*$M$21</f>
        <v>0.6226954772937765</v>
      </c>
      <c r="N73" s="12">
        <f ca="1">$I$21*$N$21</f>
        <v>0</v>
      </c>
      <c r="O73" s="12">
        <f>$I$21*$O$21</f>
        <v>0</v>
      </c>
      <c r="P73" s="12">
        <f>$I$21*$P$21</f>
        <v>0</v>
      </c>
      <c r="Q73" s="12">
        <f>$I$21*$Q$21</f>
        <v>0</v>
      </c>
      <c r="R73" s="12">
        <f>$I$21*$R$21</f>
        <v>0</v>
      </c>
      <c r="S73" s="12">
        <f>$I$21*$S$21</f>
        <v>0</v>
      </c>
      <c r="T73" s="12">
        <f>$I$21*$T$21</f>
        <v>0</v>
      </c>
      <c r="U73" s="12">
        <f>$I$21*$U$21</f>
        <v>0</v>
      </c>
      <c r="V73" s="12">
        <f>$I$21*$V$21</f>
        <v>0</v>
      </c>
      <c r="W73" s="12">
        <f>$I$21*$W$21</f>
        <v>0</v>
      </c>
      <c r="X73" s="12">
        <f>$I$21*$X$21</f>
        <v>39.860974543875507</v>
      </c>
      <c r="Y73" s="12">
        <f>$I$21*$Y$21</f>
        <v>0</v>
      </c>
      <c r="Z73" s="12">
        <f>$I$21*$Z$21</f>
        <v>0</v>
      </c>
      <c r="AA73" s="12">
        <f>$I$21*$AA$21</f>
        <v>138.61200425606583</v>
      </c>
      <c r="AB73" s="12">
        <f ca="1">$I$21*$AB$21</f>
        <v>-4.7912418380635575</v>
      </c>
      <c r="AC73" s="12">
        <f ca="1">$I$21*$AC$21</f>
        <v>0</v>
      </c>
      <c r="AD73" s="12">
        <f>$I$21*$AD$21</f>
        <v>14.318756019954643</v>
      </c>
      <c r="AE73" s="12">
        <f>$I$21*$AE$21</f>
        <v>0</v>
      </c>
      <c r="AF73" s="12">
        <f ca="1">$I$21*$AF$21</f>
        <v>0</v>
      </c>
      <c r="AG73" s="12">
        <f ca="1">$I$21*$AG$21</f>
        <v>0</v>
      </c>
      <c r="AI73" s="12">
        <f>$I$21*$AI$21</f>
        <v>0</v>
      </c>
      <c r="AJ73" s="12">
        <f>$I$21*$AJ$21</f>
        <v>0.49706643704956993</v>
      </c>
      <c r="AK73" s="12">
        <f>$I$21*$AK$21</f>
        <v>0</v>
      </c>
      <c r="AL73" s="12">
        <f>$I$21*$AL$21</f>
        <v>0</v>
      </c>
      <c r="AM73" s="12">
        <f>$I$21*$AM$21</f>
        <v>0</v>
      </c>
      <c r="AN73" s="12">
        <f>$I$21*$AN$21</f>
        <v>0</v>
      </c>
      <c r="AO73" s="12">
        <f>$I$21*$AO$21</f>
        <v>0</v>
      </c>
      <c r="AP73" s="12">
        <f>$I$21*$AP$21</f>
        <v>0</v>
      </c>
      <c r="AQ73" s="12">
        <f>$I$21*$AQ$21</f>
        <v>0</v>
      </c>
      <c r="AR73" s="12">
        <f>$I$21*$AR$21</f>
        <v>0</v>
      </c>
      <c r="AS73" s="12">
        <f>$I$21*$AS$21</f>
        <v>0</v>
      </c>
      <c r="AT73" s="12">
        <f>$I$21*$AT$21</f>
        <v>0</v>
      </c>
      <c r="AU73" s="12">
        <f>$I$21*$AU$21</f>
        <v>46.813949838983824</v>
      </c>
      <c r="AV73" s="12">
        <f>$I$21*$AV$21</f>
        <v>0</v>
      </c>
      <c r="AW73" s="12">
        <f>$I$21*$AW$21</f>
        <v>0</v>
      </c>
      <c r="AX73" s="12">
        <f>$I$21*$AX$21</f>
        <v>117.12803576733442</v>
      </c>
      <c r="AY73" s="12">
        <f>$I$21*$AY$21</f>
        <v>0</v>
      </c>
      <c r="AZ73" s="12">
        <f>$I$21*$AZ$21</f>
        <v>0</v>
      </c>
      <c r="BA73" s="12">
        <f>$I$21*$BA$21</f>
        <v>1.7277359597860855</v>
      </c>
      <c r="BB73" s="12">
        <f>$I$21*$BB$21</f>
        <v>0</v>
      </c>
      <c r="BC73" s="12">
        <f>$I$21*$BC$21</f>
        <v>0</v>
      </c>
      <c r="BD73" s="12">
        <f>$I$21*$BD$21</f>
        <v>0</v>
      </c>
    </row>
    <row r="74" spans="1:56" ht="11.25" customHeight="1" x14ac:dyDescent="0.25">
      <c r="A74" s="9" t="s">
        <v>22</v>
      </c>
      <c r="B74" s="9" t="s">
        <v>673</v>
      </c>
      <c r="C74" s="9" t="s">
        <v>674</v>
      </c>
      <c r="D74" s="9" t="s">
        <v>683</v>
      </c>
      <c r="E74" s="9" t="s">
        <v>684</v>
      </c>
      <c r="F74" s="9" t="s">
        <v>685</v>
      </c>
      <c r="G74" s="9" t="s">
        <v>686</v>
      </c>
      <c r="L74" s="12">
        <f>$I$22*$L$22</f>
        <v>0</v>
      </c>
      <c r="M74" s="12">
        <f>$I$22*$M$22</f>
        <v>1.7093856734419697</v>
      </c>
      <c r="N74" s="12">
        <f ca="1">$I$22*$N$22</f>
        <v>0</v>
      </c>
      <c r="O74" s="12">
        <f>$I$22*$O$22</f>
        <v>0</v>
      </c>
      <c r="P74" s="12">
        <f>$I$22*$P$22</f>
        <v>0</v>
      </c>
      <c r="Q74" s="12">
        <f>$I$22*$Q$22</f>
        <v>0</v>
      </c>
      <c r="R74" s="12">
        <f>$I$22*$R$22</f>
        <v>0</v>
      </c>
      <c r="S74" s="12">
        <f>$I$22*$S$22</f>
        <v>0</v>
      </c>
      <c r="T74" s="12">
        <f>$I$22*$T$22</f>
        <v>0</v>
      </c>
      <c r="U74" s="12">
        <f>$I$22*$U$22</f>
        <v>0</v>
      </c>
      <c r="V74" s="12">
        <f>$I$22*$V$22</f>
        <v>0</v>
      </c>
      <c r="W74" s="12">
        <f>$I$22*$W$22</f>
        <v>0</v>
      </c>
      <c r="X74" s="12">
        <f>$I$22*$X$22</f>
        <v>109.42391794920597</v>
      </c>
      <c r="Y74" s="12">
        <f>$I$22*$Y$22</f>
        <v>0</v>
      </c>
      <c r="Z74" s="12">
        <f>$I$22*$Z$22</f>
        <v>0</v>
      </c>
      <c r="AA74" s="12">
        <f>$I$22*$AA$22</f>
        <v>380.50922623067578</v>
      </c>
      <c r="AB74" s="12">
        <f ca="1">$I$22*$AB$22</f>
        <v>-13.152625086624298</v>
      </c>
      <c r="AC74" s="12">
        <f ca="1">$I$22*$AC$22</f>
        <v>0</v>
      </c>
      <c r="AD74" s="12">
        <f>$I$22*$AD$22</f>
        <v>39.306976354469263</v>
      </c>
      <c r="AE74" s="12">
        <f>$I$22*$AE$22</f>
        <v>0</v>
      </c>
      <c r="AF74" s="12">
        <f ca="1">$I$22*$AF$22</f>
        <v>0</v>
      </c>
      <c r="AG74" s="12">
        <f ca="1">$I$22*$AG$22</f>
        <v>0</v>
      </c>
      <c r="AI74" s="12">
        <f>$I$22*$AI$22</f>
        <v>0</v>
      </c>
      <c r="AJ74" s="12">
        <f>$I$22*$AJ$22</f>
        <v>1.3645164887563772</v>
      </c>
      <c r="AK74" s="12">
        <f>$I$22*$AK$22</f>
        <v>0</v>
      </c>
      <c r="AL74" s="12">
        <f>$I$22*$AL$22</f>
        <v>0</v>
      </c>
      <c r="AM74" s="12">
        <f>$I$22*$AM$22</f>
        <v>0</v>
      </c>
      <c r="AN74" s="12">
        <f>$I$22*$AN$22</f>
        <v>0</v>
      </c>
      <c r="AO74" s="12">
        <f>$I$22*$AO$22</f>
        <v>0</v>
      </c>
      <c r="AP74" s="12">
        <f>$I$22*$AP$22</f>
        <v>0</v>
      </c>
      <c r="AQ74" s="12">
        <f>$I$22*$AQ$22</f>
        <v>0</v>
      </c>
      <c r="AR74" s="12">
        <f>$I$22*$AR$22</f>
        <v>0</v>
      </c>
      <c r="AS74" s="12">
        <f>$I$22*$AS$22</f>
        <v>0</v>
      </c>
      <c r="AT74" s="12">
        <f>$I$22*$AT$22</f>
        <v>0</v>
      </c>
      <c r="AU74" s="12">
        <f>$I$22*$AU$22</f>
        <v>128.51080197301036</v>
      </c>
      <c r="AV74" s="12">
        <f>$I$22*$AV$22</f>
        <v>0</v>
      </c>
      <c r="AW74" s="12">
        <f>$I$22*$AW$22</f>
        <v>0</v>
      </c>
      <c r="AX74" s="12">
        <f>$I$22*$AX$22</f>
        <v>321.53274529826302</v>
      </c>
      <c r="AY74" s="12">
        <f>$I$22*$AY$22</f>
        <v>0</v>
      </c>
      <c r="AZ74" s="12">
        <f>$I$22*$AZ$22</f>
        <v>0</v>
      </c>
      <c r="BA74" s="12">
        <f>$I$22*$BA$22</f>
        <v>4.7428754581358596</v>
      </c>
      <c r="BB74" s="12">
        <f>$I$22*$BB$22</f>
        <v>0</v>
      </c>
      <c r="BC74" s="12">
        <f>$I$22*$BC$22</f>
        <v>0</v>
      </c>
      <c r="BD74" s="12">
        <f>$I$22*$BD$22</f>
        <v>0</v>
      </c>
    </row>
    <row r="75" spans="1:56" ht="11.25" customHeight="1" x14ac:dyDescent="0.25">
      <c r="A75" s="9" t="s">
        <v>22</v>
      </c>
      <c r="B75" s="9" t="s">
        <v>673</v>
      </c>
      <c r="C75" s="9" t="s">
        <v>674</v>
      </c>
      <c r="D75" s="9" t="s">
        <v>687</v>
      </c>
      <c r="E75" s="9" t="s">
        <v>688</v>
      </c>
      <c r="F75" s="9" t="s">
        <v>689</v>
      </c>
      <c r="G75" s="9" t="s">
        <v>690</v>
      </c>
      <c r="L75" s="12">
        <f>$I$23*$L$23</f>
        <v>0</v>
      </c>
      <c r="M75" s="12">
        <f>$I$23*$M$23</f>
        <v>6.3942107485360458E-2</v>
      </c>
      <c r="N75" s="12">
        <f ca="1">$I$23*$N$23</f>
        <v>0</v>
      </c>
      <c r="O75" s="12">
        <f>$I$23*$O$23</f>
        <v>0</v>
      </c>
      <c r="P75" s="12">
        <f>$I$23*$P$23</f>
        <v>0</v>
      </c>
      <c r="Q75" s="12">
        <f>$I$23*$Q$23</f>
        <v>0</v>
      </c>
      <c r="R75" s="12">
        <f>$I$23*$R$23</f>
        <v>0</v>
      </c>
      <c r="S75" s="12">
        <f>$I$23*$S$23</f>
        <v>0</v>
      </c>
      <c r="T75" s="12">
        <f>$I$23*$T$23</f>
        <v>0</v>
      </c>
      <c r="U75" s="12">
        <f>$I$23*$U$23</f>
        <v>0</v>
      </c>
      <c r="V75" s="12">
        <f>$I$23*$V$23</f>
        <v>0</v>
      </c>
      <c r="W75" s="12">
        <f>$I$23*$W$23</f>
        <v>0</v>
      </c>
      <c r="X75" s="12">
        <f>$I$23*$X$23</f>
        <v>4.0931640130625668</v>
      </c>
      <c r="Y75" s="12">
        <f>$I$23*$Y$23</f>
        <v>0</v>
      </c>
      <c r="Z75" s="12">
        <f>$I$23*$Z$23</f>
        <v>0</v>
      </c>
      <c r="AA75" s="12">
        <f>$I$23*$AA$23</f>
        <v>14.233512203142485</v>
      </c>
      <c r="AB75" s="12">
        <f ca="1">$I$23*$AB$23</f>
        <v>-0.49199345710564701</v>
      </c>
      <c r="AC75" s="12">
        <f ca="1">$I$23*$AC$23</f>
        <v>0</v>
      </c>
      <c r="AD75" s="12">
        <f>$I$23*$AD$23</f>
        <v>1.4703357738579523</v>
      </c>
      <c r="AE75" s="12">
        <f>$I$23*$AE$23</f>
        <v>0</v>
      </c>
      <c r="AF75" s="12">
        <f ca="1">$I$23*$AF$23</f>
        <v>0</v>
      </c>
      <c r="AG75" s="12">
        <f ca="1">$I$23*$AG$23</f>
        <v>0</v>
      </c>
      <c r="AI75" s="12">
        <f>$I$23*$AI$23</f>
        <v>0</v>
      </c>
      <c r="AJ75" s="12">
        <f>$I$23*$AJ$23</f>
        <v>5.1041763918567719E-2</v>
      </c>
      <c r="AK75" s="12">
        <f>$I$23*$AK$23</f>
        <v>0</v>
      </c>
      <c r="AL75" s="12">
        <f>$I$23*$AL$23</f>
        <v>0</v>
      </c>
      <c r="AM75" s="12">
        <f>$I$23*$AM$23</f>
        <v>0</v>
      </c>
      <c r="AN75" s="12">
        <f>$I$23*$AN$23</f>
        <v>0</v>
      </c>
      <c r="AO75" s="12">
        <f>$I$23*$AO$23</f>
        <v>0</v>
      </c>
      <c r="AP75" s="12">
        <f>$I$23*$AP$23</f>
        <v>0</v>
      </c>
      <c r="AQ75" s="12">
        <f>$I$23*$AQ$23</f>
        <v>0</v>
      </c>
      <c r="AR75" s="12">
        <f>$I$23*$AR$23</f>
        <v>0</v>
      </c>
      <c r="AS75" s="12">
        <f>$I$23*$AS$23</f>
        <v>0</v>
      </c>
      <c r="AT75" s="12">
        <f>$I$23*$AT$23</f>
        <v>0</v>
      </c>
      <c r="AU75" s="12">
        <f>$I$23*$AU$23</f>
        <v>4.8071372309106115</v>
      </c>
      <c r="AV75" s="12">
        <f>$I$23*$AV$23</f>
        <v>0</v>
      </c>
      <c r="AW75" s="12">
        <f>$I$23*$AW$23</f>
        <v>0</v>
      </c>
      <c r="AX75" s="12">
        <f>$I$23*$AX$23</f>
        <v>12.027409425122041</v>
      </c>
      <c r="AY75" s="12">
        <f>$I$23*$AY$23</f>
        <v>0</v>
      </c>
      <c r="AZ75" s="12">
        <f>$I$23*$AZ$23</f>
        <v>0</v>
      </c>
      <c r="BA75" s="12">
        <f>$I$23*$BA$23</f>
        <v>0.177414293945232</v>
      </c>
      <c r="BB75" s="12">
        <f>$I$23*$BB$23</f>
        <v>0</v>
      </c>
      <c r="BC75" s="12">
        <f>$I$23*$BC$23</f>
        <v>0</v>
      </c>
      <c r="BD75" s="12">
        <f>$I$23*$BD$23</f>
        <v>0</v>
      </c>
    </row>
    <row r="76" spans="1:56" ht="11.25" customHeight="1" x14ac:dyDescent="0.25">
      <c r="A76" s="9" t="s">
        <v>22</v>
      </c>
      <c r="B76" s="9" t="s">
        <v>673</v>
      </c>
      <c r="C76" s="9" t="s">
        <v>674</v>
      </c>
      <c r="D76" s="9" t="s">
        <v>691</v>
      </c>
      <c r="E76" s="9" t="s">
        <v>692</v>
      </c>
      <c r="F76" s="9" t="s">
        <v>693</v>
      </c>
      <c r="G76" s="9" t="s">
        <v>694</v>
      </c>
      <c r="L76" s="12">
        <f>$I$24*$L$24</f>
        <v>0</v>
      </c>
      <c r="M76" s="12">
        <f>$I$24*$M$24</f>
        <v>0.18886603970212948</v>
      </c>
      <c r="N76" s="12">
        <f ca="1">$I$24*$N$24</f>
        <v>0</v>
      </c>
      <c r="O76" s="12">
        <f>$I$24*$O$24</f>
        <v>0</v>
      </c>
      <c r="P76" s="12">
        <f>$I$24*$P$24</f>
        <v>0</v>
      </c>
      <c r="Q76" s="12">
        <f>$I$24*$Q$24</f>
        <v>0</v>
      </c>
      <c r="R76" s="12">
        <f>$I$24*$R$24</f>
        <v>0</v>
      </c>
      <c r="S76" s="12">
        <f>$I$24*$S$24</f>
        <v>0</v>
      </c>
      <c r="T76" s="12">
        <f>$I$24*$T$24</f>
        <v>0</v>
      </c>
      <c r="U76" s="12">
        <f>$I$24*$U$24</f>
        <v>0</v>
      </c>
      <c r="V76" s="12">
        <f>$I$24*$V$24</f>
        <v>0</v>
      </c>
      <c r="W76" s="12">
        <f>$I$24*$W$24</f>
        <v>0</v>
      </c>
      <c r="X76" s="12">
        <f>$I$24*$X$24</f>
        <v>12.08999370524962</v>
      </c>
      <c r="Y76" s="12">
        <f>$I$24*$Y$24</f>
        <v>0</v>
      </c>
      <c r="Z76" s="12">
        <f>$I$24*$Z$24</f>
        <v>0</v>
      </c>
      <c r="AA76" s="12">
        <f>$I$24*$AA$24</f>
        <v>42.041577711133819</v>
      </c>
      <c r="AB76" s="12">
        <f ca="1">$I$24*$AB$24</f>
        <v>-1.4532028964509389</v>
      </c>
      <c r="AC76" s="12">
        <f ca="1">$I$24*$AC$24</f>
        <v>0</v>
      </c>
      <c r="AD76" s="12">
        <f>$I$24*$AD$24</f>
        <v>4.3429362209322857</v>
      </c>
      <c r="AE76" s="12">
        <f>$I$24*$AE$24</f>
        <v>0</v>
      </c>
      <c r="AF76" s="12">
        <f ca="1">$I$24*$AF$24</f>
        <v>0</v>
      </c>
      <c r="AG76" s="12">
        <f ca="1">$I$24*$AG$24</f>
        <v>0</v>
      </c>
      <c r="AI76" s="12">
        <f>$I$24*$AI$24</f>
        <v>0</v>
      </c>
      <c r="AJ76" s="12">
        <f>$I$24*$AJ$24</f>
        <v>0.15076224712984376</v>
      </c>
      <c r="AK76" s="12">
        <f>$I$24*$AK$24</f>
        <v>0</v>
      </c>
      <c r="AL76" s="12">
        <f>$I$24*$AL$24</f>
        <v>0</v>
      </c>
      <c r="AM76" s="12">
        <f>$I$24*$AM$24</f>
        <v>0</v>
      </c>
      <c r="AN76" s="12">
        <f>$I$24*$AN$24</f>
        <v>0</v>
      </c>
      <c r="AO76" s="12">
        <f>$I$24*$AO$24</f>
        <v>0</v>
      </c>
      <c r="AP76" s="12">
        <f>$I$24*$AP$24</f>
        <v>0</v>
      </c>
      <c r="AQ76" s="12">
        <f>$I$24*$AQ$24</f>
        <v>0</v>
      </c>
      <c r="AR76" s="12">
        <f>$I$24*$AR$24</f>
        <v>0</v>
      </c>
      <c r="AS76" s="12">
        <f>$I$24*$AS$24</f>
        <v>0</v>
      </c>
      <c r="AT76" s="12">
        <f>$I$24*$AT$24</f>
        <v>0</v>
      </c>
      <c r="AU76" s="12">
        <f>$I$24*$AU$24</f>
        <v>14.198859043152641</v>
      </c>
      <c r="AV76" s="12">
        <f>$I$24*$AV$24</f>
        <v>0</v>
      </c>
      <c r="AW76" s="12">
        <f>$I$24*$AW$24</f>
        <v>0</v>
      </c>
      <c r="AX76" s="12">
        <f>$I$24*$AX$24</f>
        <v>35.525403764944016</v>
      </c>
      <c r="AY76" s="12">
        <f>$I$24*$AY$24</f>
        <v>0</v>
      </c>
      <c r="AZ76" s="12">
        <f>$I$24*$AZ$24</f>
        <v>0</v>
      </c>
      <c r="BA76" s="12">
        <f>$I$24*$BA$24</f>
        <v>0.52402925711600823</v>
      </c>
      <c r="BB76" s="12">
        <f>$I$24*$BB$24</f>
        <v>0</v>
      </c>
      <c r="BC76" s="12">
        <f>$I$24*$BC$24</f>
        <v>0</v>
      </c>
      <c r="BD76" s="12">
        <f>$I$24*$BD$24</f>
        <v>0</v>
      </c>
    </row>
    <row r="77" spans="1:56" ht="11.25" customHeight="1" x14ac:dyDescent="0.25">
      <c r="A77" s="9" t="s">
        <v>22</v>
      </c>
      <c r="B77" s="9" t="s">
        <v>695</v>
      </c>
      <c r="C77" s="9" t="s">
        <v>696</v>
      </c>
      <c r="D77" s="9" t="s">
        <v>697</v>
      </c>
      <c r="E77" s="9" t="s">
        <v>698</v>
      </c>
      <c r="F77" s="9" t="s">
        <v>699</v>
      </c>
      <c r="G77" s="9" t="s">
        <v>700</v>
      </c>
      <c r="L77" s="12">
        <f>$I$25*$L$25</f>
        <v>0</v>
      </c>
      <c r="M77" s="12">
        <f>$I$25*$M$25</f>
        <v>0</v>
      </c>
      <c r="N77" s="12">
        <f ca="1">$I$25*$N$25</f>
        <v>0</v>
      </c>
      <c r="O77" s="12">
        <f>$I$25*$O$25</f>
        <v>0</v>
      </c>
      <c r="P77" s="12">
        <f>$I$25*$P$25</f>
        <v>0</v>
      </c>
      <c r="Q77" s="12">
        <f>$I$25*$Q$25</f>
        <v>0</v>
      </c>
      <c r="R77" s="12">
        <f>$I$25*$R$25</f>
        <v>0</v>
      </c>
      <c r="S77" s="12">
        <f>$I$25*$S$25</f>
        <v>0</v>
      </c>
      <c r="T77" s="12">
        <f>$I$25*$T$25</f>
        <v>0</v>
      </c>
      <c r="U77" s="12">
        <f>$I$25*$U$25</f>
        <v>0</v>
      </c>
      <c r="V77" s="12">
        <f>$I$25*$V$25</f>
        <v>0</v>
      </c>
      <c r="W77" s="12">
        <f>$I$25*$W$25</f>
        <v>0</v>
      </c>
      <c r="X77" s="12">
        <f>$I$25*$X$25</f>
        <v>0</v>
      </c>
      <c r="Y77" s="12">
        <f>$I$25*$Y$25</f>
        <v>0</v>
      </c>
      <c r="Z77" s="12">
        <f>$I$25*$Z$25</f>
        <v>0</v>
      </c>
      <c r="AA77" s="12">
        <f>$I$25*$AA$25</f>
        <v>0</v>
      </c>
      <c r="AB77" s="12">
        <f ca="1">$I$25*$AB$25</f>
        <v>0</v>
      </c>
      <c r="AC77" s="12">
        <f ca="1">$I$25*$AC$25</f>
        <v>0</v>
      </c>
      <c r="AD77" s="12">
        <f>$I$25*$AD$25</f>
        <v>0</v>
      </c>
      <c r="AE77" s="12">
        <f>$I$25*$AE$25</f>
        <v>0</v>
      </c>
      <c r="AF77" s="12">
        <f ca="1">$I$25*$AF$25</f>
        <v>0</v>
      </c>
      <c r="AG77" s="12">
        <f ca="1">$I$25*$AG$25</f>
        <v>0</v>
      </c>
      <c r="AI77" s="12">
        <f>$I$25*$AI$25</f>
        <v>0</v>
      </c>
      <c r="AJ77" s="12">
        <f>$I$25*$AJ$25</f>
        <v>0</v>
      </c>
      <c r="AK77" s="12">
        <f>$I$25*$AK$25</f>
        <v>0</v>
      </c>
      <c r="AL77" s="12">
        <f>$I$25*$AL$25</f>
        <v>0</v>
      </c>
      <c r="AM77" s="12">
        <f>$I$25*$AM$25</f>
        <v>0</v>
      </c>
      <c r="AN77" s="12">
        <f>$I$25*$AN$25</f>
        <v>0</v>
      </c>
      <c r="AO77" s="12">
        <f>$I$25*$AO$25</f>
        <v>0</v>
      </c>
      <c r="AP77" s="12">
        <f>$I$25*$AP$25</f>
        <v>0</v>
      </c>
      <c r="AQ77" s="12">
        <f>$I$25*$AQ$25</f>
        <v>0</v>
      </c>
      <c r="AR77" s="12">
        <f>$I$25*$AR$25</f>
        <v>0</v>
      </c>
      <c r="AS77" s="12">
        <f>$I$25*$AS$25</f>
        <v>0</v>
      </c>
      <c r="AT77" s="12">
        <f>$I$25*$AT$25</f>
        <v>0</v>
      </c>
      <c r="AU77" s="12">
        <f>$I$25*$AU$25</f>
        <v>0</v>
      </c>
      <c r="AV77" s="12">
        <f>$I$25*$AV$25</f>
        <v>0</v>
      </c>
      <c r="AW77" s="12">
        <f>$I$25*$AW$25</f>
        <v>0</v>
      </c>
      <c r="AX77" s="12">
        <f>$I$25*$AX$25</f>
        <v>0</v>
      </c>
      <c r="AY77" s="12">
        <f>$I$25*$AY$25</f>
        <v>0</v>
      </c>
      <c r="AZ77" s="12">
        <f>$I$25*$AZ$25</f>
        <v>0</v>
      </c>
      <c r="BA77" s="12">
        <f>$I$25*$BA$25</f>
        <v>0</v>
      </c>
      <c r="BB77" s="12">
        <f>$I$25*$BB$25</f>
        <v>0</v>
      </c>
      <c r="BC77" s="12">
        <f>$I$25*$BC$25</f>
        <v>0</v>
      </c>
      <c r="BD77" s="12">
        <f>$I$25*$BD$25</f>
        <v>0</v>
      </c>
    </row>
    <row r="78" spans="1:56" ht="11.25" customHeight="1" x14ac:dyDescent="0.25">
      <c r="A78" s="9" t="s">
        <v>22</v>
      </c>
      <c r="B78" s="9" t="s">
        <v>695</v>
      </c>
      <c r="C78" s="9" t="s">
        <v>696</v>
      </c>
      <c r="D78" s="9" t="s">
        <v>701</v>
      </c>
      <c r="E78" s="9" t="s">
        <v>702</v>
      </c>
      <c r="F78" s="9" t="s">
        <v>703</v>
      </c>
      <c r="G78" s="9" t="s">
        <v>704</v>
      </c>
      <c r="L78" s="12">
        <f>$I$26*$L$26</f>
        <v>0</v>
      </c>
      <c r="M78" s="12">
        <f>$I$26*$M$26</f>
        <v>0</v>
      </c>
      <c r="N78" s="12">
        <f ca="1">$I$26*$N$26</f>
        <v>0</v>
      </c>
      <c r="O78" s="12">
        <f>$I$26*$O$26</f>
        <v>0</v>
      </c>
      <c r="P78" s="12">
        <f>$I$26*$P$26</f>
        <v>0</v>
      </c>
      <c r="Q78" s="12">
        <f>$I$26*$Q$26</f>
        <v>0</v>
      </c>
      <c r="R78" s="12">
        <f>$I$26*$R$26</f>
        <v>0</v>
      </c>
      <c r="S78" s="12">
        <f>$I$26*$S$26</f>
        <v>0</v>
      </c>
      <c r="T78" s="12">
        <f>$I$26*$T$26</f>
        <v>0</v>
      </c>
      <c r="U78" s="12">
        <f>$I$26*$U$26</f>
        <v>0</v>
      </c>
      <c r="V78" s="12">
        <f>$I$26*$V$26</f>
        <v>0</v>
      </c>
      <c r="W78" s="12">
        <f>$I$26*$W$26</f>
        <v>0</v>
      </c>
      <c r="X78" s="12">
        <f>$I$26*$X$26</f>
        <v>0</v>
      </c>
      <c r="Y78" s="12">
        <f>$I$26*$Y$26</f>
        <v>0</v>
      </c>
      <c r="Z78" s="12">
        <f>$I$26*$Z$26</f>
        <v>0</v>
      </c>
      <c r="AA78" s="12">
        <f>$I$26*$AA$26</f>
        <v>0</v>
      </c>
      <c r="AB78" s="12">
        <f ca="1">$I$26*$AB$26</f>
        <v>0</v>
      </c>
      <c r="AC78" s="12">
        <f ca="1">$I$26*$AC$26</f>
        <v>0</v>
      </c>
      <c r="AD78" s="12">
        <f>$I$26*$AD$26</f>
        <v>0</v>
      </c>
      <c r="AE78" s="12">
        <f>$I$26*$AE$26</f>
        <v>0</v>
      </c>
      <c r="AF78" s="12">
        <f ca="1">$I$26*$AF$26</f>
        <v>0</v>
      </c>
      <c r="AG78" s="12">
        <f ca="1">$I$26*$AG$26</f>
        <v>0</v>
      </c>
      <c r="AI78" s="12">
        <f>$I$26*$AI$26</f>
        <v>0</v>
      </c>
      <c r="AJ78" s="12">
        <f>$I$26*$AJ$26</f>
        <v>0</v>
      </c>
      <c r="AK78" s="12">
        <f>$I$26*$AK$26</f>
        <v>0</v>
      </c>
      <c r="AL78" s="12">
        <f>$I$26*$AL$26</f>
        <v>0</v>
      </c>
      <c r="AM78" s="12">
        <f>$I$26*$AM$26</f>
        <v>0</v>
      </c>
      <c r="AN78" s="12">
        <f>$I$26*$AN$26</f>
        <v>0</v>
      </c>
      <c r="AO78" s="12">
        <f>$I$26*$AO$26</f>
        <v>0</v>
      </c>
      <c r="AP78" s="12">
        <f>$I$26*$AP$26</f>
        <v>0</v>
      </c>
      <c r="AQ78" s="12">
        <f>$I$26*$AQ$26</f>
        <v>0</v>
      </c>
      <c r="AR78" s="12">
        <f>$I$26*$AR$26</f>
        <v>0</v>
      </c>
      <c r="AS78" s="12">
        <f>$I$26*$AS$26</f>
        <v>0</v>
      </c>
      <c r="AT78" s="12">
        <f>$I$26*$AT$26</f>
        <v>0</v>
      </c>
      <c r="AU78" s="12">
        <f>$I$26*$AU$26</f>
        <v>0</v>
      </c>
      <c r="AV78" s="12">
        <f>$I$26*$AV$26</f>
        <v>0</v>
      </c>
      <c r="AW78" s="12">
        <f>$I$26*$AW$26</f>
        <v>0</v>
      </c>
      <c r="AX78" s="12">
        <f>$I$26*$AX$26</f>
        <v>0</v>
      </c>
      <c r="AY78" s="12">
        <f>$I$26*$AY$26</f>
        <v>0</v>
      </c>
      <c r="AZ78" s="12">
        <f>$I$26*$AZ$26</f>
        <v>0</v>
      </c>
      <c r="BA78" s="12">
        <f>$I$26*$BA$26</f>
        <v>0</v>
      </c>
      <c r="BB78" s="12">
        <f>$I$26*$BB$26</f>
        <v>0</v>
      </c>
      <c r="BC78" s="12">
        <f>$I$26*$BC$26</f>
        <v>0</v>
      </c>
      <c r="BD78" s="12">
        <f>$I$26*$BD$26</f>
        <v>0</v>
      </c>
    </row>
    <row r="79" spans="1:56" ht="11.25" customHeight="1" x14ac:dyDescent="0.25">
      <c r="A79" s="9" t="s">
        <v>22</v>
      </c>
      <c r="B79" s="9" t="s">
        <v>695</v>
      </c>
      <c r="C79" s="9" t="s">
        <v>696</v>
      </c>
      <c r="D79" s="9" t="s">
        <v>705</v>
      </c>
      <c r="E79" s="9" t="s">
        <v>706</v>
      </c>
      <c r="F79" s="9" t="s">
        <v>707</v>
      </c>
      <c r="G79" s="9" t="s">
        <v>708</v>
      </c>
      <c r="L79" s="12">
        <f>$I$27*$L$27</f>
        <v>0</v>
      </c>
      <c r="M79" s="12">
        <f>$I$27*$M$27</f>
        <v>0</v>
      </c>
      <c r="N79" s="12">
        <f ca="1">$I$27*$N$27</f>
        <v>0</v>
      </c>
      <c r="O79" s="12">
        <f>$I$27*$O$27</f>
        <v>0</v>
      </c>
      <c r="P79" s="12">
        <f>$I$27*$P$27</f>
        <v>0</v>
      </c>
      <c r="Q79" s="12">
        <f>$I$27*$Q$27</f>
        <v>0</v>
      </c>
      <c r="R79" s="12">
        <f>$I$27*$R$27</f>
        <v>0</v>
      </c>
      <c r="S79" s="12">
        <f>$I$27*$S$27</f>
        <v>0</v>
      </c>
      <c r="T79" s="12">
        <f>$I$27*$T$27</f>
        <v>0</v>
      </c>
      <c r="U79" s="12">
        <f>$I$27*$U$27</f>
        <v>0</v>
      </c>
      <c r="V79" s="12">
        <f>$I$27*$V$27</f>
        <v>0</v>
      </c>
      <c r="W79" s="12">
        <f>$I$27*$W$27</f>
        <v>0</v>
      </c>
      <c r="X79" s="12">
        <f>$I$27*$X$27</f>
        <v>0</v>
      </c>
      <c r="Y79" s="12">
        <f>$I$27*$Y$27</f>
        <v>0</v>
      </c>
      <c r="Z79" s="12">
        <f>$I$27*$Z$27</f>
        <v>0</v>
      </c>
      <c r="AA79" s="12">
        <f>$I$27*$AA$27</f>
        <v>0</v>
      </c>
      <c r="AB79" s="12">
        <f ca="1">$I$27*$AB$27</f>
        <v>0</v>
      </c>
      <c r="AC79" s="12">
        <f ca="1">$I$27*$AC$27</f>
        <v>0</v>
      </c>
      <c r="AD79" s="12">
        <f>$I$27*$AD$27</f>
        <v>0</v>
      </c>
      <c r="AE79" s="12">
        <f>$I$27*$AE$27</f>
        <v>0</v>
      </c>
      <c r="AF79" s="12">
        <f ca="1">$I$27*$AF$27</f>
        <v>0</v>
      </c>
      <c r="AG79" s="12">
        <f ca="1">$I$27*$AG$27</f>
        <v>0</v>
      </c>
      <c r="AI79" s="12">
        <f>$I$27*$AI$27</f>
        <v>0</v>
      </c>
      <c r="AJ79" s="12">
        <f>$I$27*$AJ$27</f>
        <v>0</v>
      </c>
      <c r="AK79" s="12">
        <f>$I$27*$AK$27</f>
        <v>0</v>
      </c>
      <c r="AL79" s="12">
        <f>$I$27*$AL$27</f>
        <v>0</v>
      </c>
      <c r="AM79" s="12">
        <f>$I$27*$AM$27</f>
        <v>0</v>
      </c>
      <c r="AN79" s="12">
        <f>$I$27*$AN$27</f>
        <v>0</v>
      </c>
      <c r="AO79" s="12">
        <f>$I$27*$AO$27</f>
        <v>0</v>
      </c>
      <c r="AP79" s="12">
        <f>$I$27*$AP$27</f>
        <v>0</v>
      </c>
      <c r="AQ79" s="12">
        <f>$I$27*$AQ$27</f>
        <v>0</v>
      </c>
      <c r="AR79" s="12">
        <f>$I$27*$AR$27</f>
        <v>0</v>
      </c>
      <c r="AS79" s="12">
        <f>$I$27*$AS$27</f>
        <v>0</v>
      </c>
      <c r="AT79" s="12">
        <f>$I$27*$AT$27</f>
        <v>0</v>
      </c>
      <c r="AU79" s="12">
        <f>$I$27*$AU$27</f>
        <v>0</v>
      </c>
      <c r="AV79" s="12">
        <f>$I$27*$AV$27</f>
        <v>0</v>
      </c>
      <c r="AW79" s="12">
        <f>$I$27*$AW$27</f>
        <v>0</v>
      </c>
      <c r="AX79" s="12">
        <f>$I$27*$AX$27</f>
        <v>0</v>
      </c>
      <c r="AY79" s="12">
        <f>$I$27*$AY$27</f>
        <v>0</v>
      </c>
      <c r="AZ79" s="12">
        <f>$I$27*$AZ$27</f>
        <v>0</v>
      </c>
      <c r="BA79" s="12">
        <f>$I$27*$BA$27</f>
        <v>0</v>
      </c>
      <c r="BB79" s="12">
        <f>$I$27*$BB$27</f>
        <v>0</v>
      </c>
      <c r="BC79" s="12">
        <f>$I$27*$BC$27</f>
        <v>0</v>
      </c>
      <c r="BD79" s="12">
        <f>$I$27*$BD$27</f>
        <v>0</v>
      </c>
    </row>
    <row r="80" spans="1:56" ht="11.25" customHeight="1" x14ac:dyDescent="0.25">
      <c r="A80" s="9" t="s">
        <v>22</v>
      </c>
      <c r="B80" s="9" t="s">
        <v>695</v>
      </c>
      <c r="C80" s="9" t="s">
        <v>696</v>
      </c>
      <c r="D80" s="9" t="s">
        <v>709</v>
      </c>
      <c r="E80" s="9" t="s">
        <v>710</v>
      </c>
      <c r="F80" s="9" t="s">
        <v>711</v>
      </c>
      <c r="G80" s="9" t="s">
        <v>712</v>
      </c>
      <c r="L80" s="12">
        <f>$I$28*$L$28</f>
        <v>0</v>
      </c>
      <c r="M80" s="12">
        <f>$I$28*$M$28</f>
        <v>0</v>
      </c>
      <c r="N80" s="12">
        <f ca="1">$I$28*$N$28</f>
        <v>0</v>
      </c>
      <c r="O80" s="12">
        <f>$I$28*$O$28</f>
        <v>0</v>
      </c>
      <c r="P80" s="12">
        <f>$I$28*$P$28</f>
        <v>0</v>
      </c>
      <c r="Q80" s="12">
        <f>$I$28*$Q$28</f>
        <v>0</v>
      </c>
      <c r="R80" s="12">
        <f>$I$28*$R$28</f>
        <v>0</v>
      </c>
      <c r="S80" s="12">
        <f>$I$28*$S$28</f>
        <v>0</v>
      </c>
      <c r="T80" s="12">
        <f>$I$28*$T$28</f>
        <v>0</v>
      </c>
      <c r="U80" s="12">
        <f>$I$28*$U$28</f>
        <v>0</v>
      </c>
      <c r="V80" s="12">
        <f>$I$28*$V$28</f>
        <v>0</v>
      </c>
      <c r="W80" s="12">
        <f>$I$28*$W$28</f>
        <v>0</v>
      </c>
      <c r="X80" s="12">
        <f>$I$28*$X$28</f>
        <v>0</v>
      </c>
      <c r="Y80" s="12">
        <f>$I$28*$Y$28</f>
        <v>0</v>
      </c>
      <c r="Z80" s="12">
        <f>$I$28*$Z$28</f>
        <v>0</v>
      </c>
      <c r="AA80" s="12">
        <f>$I$28*$AA$28</f>
        <v>0</v>
      </c>
      <c r="AB80" s="12">
        <f ca="1">$I$28*$AB$28</f>
        <v>0</v>
      </c>
      <c r="AC80" s="12">
        <f ca="1">$I$28*$AC$28</f>
        <v>0</v>
      </c>
      <c r="AD80" s="12">
        <f>$I$28*$AD$28</f>
        <v>0</v>
      </c>
      <c r="AE80" s="12">
        <f>$I$28*$AE$28</f>
        <v>0</v>
      </c>
      <c r="AF80" s="12">
        <f ca="1">$I$28*$AF$28</f>
        <v>0</v>
      </c>
      <c r="AG80" s="12">
        <f ca="1">$I$28*$AG$28</f>
        <v>0</v>
      </c>
      <c r="AI80" s="12">
        <f>$I$28*$AI$28</f>
        <v>0</v>
      </c>
      <c r="AJ80" s="12">
        <f>$I$28*$AJ$28</f>
        <v>0</v>
      </c>
      <c r="AK80" s="12">
        <f>$I$28*$AK$28</f>
        <v>0</v>
      </c>
      <c r="AL80" s="12">
        <f>$I$28*$AL$28</f>
        <v>0</v>
      </c>
      <c r="AM80" s="12">
        <f>$I$28*$AM$28</f>
        <v>0</v>
      </c>
      <c r="AN80" s="12">
        <f>$I$28*$AN$28</f>
        <v>0</v>
      </c>
      <c r="AO80" s="12">
        <f>$I$28*$AO$28</f>
        <v>0</v>
      </c>
      <c r="AP80" s="12">
        <f>$I$28*$AP$28</f>
        <v>0</v>
      </c>
      <c r="AQ80" s="12">
        <f>$I$28*$AQ$28</f>
        <v>0</v>
      </c>
      <c r="AR80" s="12">
        <f>$I$28*$AR$28</f>
        <v>0</v>
      </c>
      <c r="AS80" s="12">
        <f>$I$28*$AS$28</f>
        <v>0</v>
      </c>
      <c r="AT80" s="12">
        <f>$I$28*$AT$28</f>
        <v>0</v>
      </c>
      <c r="AU80" s="12">
        <f>$I$28*$AU$28</f>
        <v>0</v>
      </c>
      <c r="AV80" s="12">
        <f>$I$28*$AV$28</f>
        <v>0</v>
      </c>
      <c r="AW80" s="12">
        <f>$I$28*$AW$28</f>
        <v>0</v>
      </c>
      <c r="AX80" s="12">
        <f>$I$28*$AX$28</f>
        <v>0</v>
      </c>
      <c r="AY80" s="12">
        <f>$I$28*$AY$28</f>
        <v>0</v>
      </c>
      <c r="AZ80" s="12">
        <f>$I$28*$AZ$28</f>
        <v>0</v>
      </c>
      <c r="BA80" s="12">
        <f>$I$28*$BA$28</f>
        <v>0</v>
      </c>
      <c r="BB80" s="12">
        <f>$I$28*$BB$28</f>
        <v>0</v>
      </c>
      <c r="BC80" s="12">
        <f>$I$28*$BC$28</f>
        <v>0</v>
      </c>
      <c r="BD80" s="12">
        <f>$I$28*$BD$28</f>
        <v>0</v>
      </c>
    </row>
    <row r="81" spans="1:56" ht="11.25" customHeight="1" x14ac:dyDescent="0.25">
      <c r="A81" s="9" t="s">
        <v>22</v>
      </c>
      <c r="B81" s="9" t="s">
        <v>695</v>
      </c>
      <c r="C81" s="9" t="s">
        <v>696</v>
      </c>
      <c r="D81" s="9" t="s">
        <v>713</v>
      </c>
      <c r="E81" s="9" t="s">
        <v>714</v>
      </c>
      <c r="F81" s="9" t="s">
        <v>715</v>
      </c>
      <c r="G81" s="9" t="s">
        <v>716</v>
      </c>
      <c r="L81" s="12">
        <f>$I$29*$L$29</f>
        <v>0</v>
      </c>
      <c r="M81" s="12">
        <f>$I$29*$M$29</f>
        <v>0</v>
      </c>
      <c r="N81" s="12">
        <f ca="1">$I$29*$N$29</f>
        <v>0</v>
      </c>
      <c r="O81" s="12">
        <f>$I$29*$O$29</f>
        <v>0</v>
      </c>
      <c r="P81" s="12">
        <f>$I$29*$P$29</f>
        <v>0</v>
      </c>
      <c r="Q81" s="12">
        <f>$I$29*$Q$29</f>
        <v>0</v>
      </c>
      <c r="R81" s="12">
        <f>$I$29*$R$29</f>
        <v>0</v>
      </c>
      <c r="S81" s="12">
        <f>$I$29*$S$29</f>
        <v>0</v>
      </c>
      <c r="T81" s="12">
        <f>$I$29*$T$29</f>
        <v>0</v>
      </c>
      <c r="U81" s="12">
        <f>$I$29*$U$29</f>
        <v>0</v>
      </c>
      <c r="V81" s="12">
        <f>$I$29*$V$29</f>
        <v>0</v>
      </c>
      <c r="W81" s="12">
        <f>$I$29*$W$29</f>
        <v>0</v>
      </c>
      <c r="X81" s="12">
        <f>$I$29*$X$29</f>
        <v>0</v>
      </c>
      <c r="Y81" s="12">
        <f>$I$29*$Y$29</f>
        <v>0</v>
      </c>
      <c r="Z81" s="12">
        <f>$I$29*$Z$29</f>
        <v>0</v>
      </c>
      <c r="AA81" s="12">
        <f>$I$29*$AA$29</f>
        <v>0</v>
      </c>
      <c r="AB81" s="12">
        <f ca="1">$I$29*$AB$29</f>
        <v>0</v>
      </c>
      <c r="AC81" s="12">
        <f ca="1">$I$29*$AC$29</f>
        <v>0</v>
      </c>
      <c r="AD81" s="12">
        <f>$I$29*$AD$29</f>
        <v>0</v>
      </c>
      <c r="AE81" s="12">
        <f>$I$29*$AE$29</f>
        <v>0</v>
      </c>
      <c r="AF81" s="12">
        <f ca="1">$I$29*$AF$29</f>
        <v>0</v>
      </c>
      <c r="AG81" s="12">
        <f ca="1">$I$29*$AG$29</f>
        <v>0</v>
      </c>
      <c r="AI81" s="12">
        <f>$I$29*$AI$29</f>
        <v>0</v>
      </c>
      <c r="AJ81" s="12">
        <f>$I$29*$AJ$29</f>
        <v>0</v>
      </c>
      <c r="AK81" s="12">
        <f>$I$29*$AK$29</f>
        <v>0</v>
      </c>
      <c r="AL81" s="12">
        <f>$I$29*$AL$29</f>
        <v>0</v>
      </c>
      <c r="AM81" s="12">
        <f>$I$29*$AM$29</f>
        <v>0</v>
      </c>
      <c r="AN81" s="12">
        <f>$I$29*$AN$29</f>
        <v>0</v>
      </c>
      <c r="AO81" s="12">
        <f>$I$29*$AO$29</f>
        <v>0</v>
      </c>
      <c r="AP81" s="12">
        <f>$I$29*$AP$29</f>
        <v>0</v>
      </c>
      <c r="AQ81" s="12">
        <f>$I$29*$AQ$29</f>
        <v>0</v>
      </c>
      <c r="AR81" s="12">
        <f>$I$29*$AR$29</f>
        <v>0</v>
      </c>
      <c r="AS81" s="12">
        <f>$I$29*$AS$29</f>
        <v>0</v>
      </c>
      <c r="AT81" s="12">
        <f>$I$29*$AT$29</f>
        <v>0</v>
      </c>
      <c r="AU81" s="12">
        <f>$I$29*$AU$29</f>
        <v>0</v>
      </c>
      <c r="AV81" s="12">
        <f>$I$29*$AV$29</f>
        <v>0</v>
      </c>
      <c r="AW81" s="12">
        <f>$I$29*$AW$29</f>
        <v>0</v>
      </c>
      <c r="AX81" s="12">
        <f>$I$29*$AX$29</f>
        <v>0</v>
      </c>
      <c r="AY81" s="12">
        <f>$I$29*$AY$29</f>
        <v>0</v>
      </c>
      <c r="AZ81" s="12">
        <f>$I$29*$AZ$29</f>
        <v>0</v>
      </c>
      <c r="BA81" s="12">
        <f>$I$29*$BA$29</f>
        <v>0</v>
      </c>
      <c r="BB81" s="12">
        <f>$I$29*$BB$29</f>
        <v>0</v>
      </c>
      <c r="BC81" s="12">
        <f>$I$29*$BC$29</f>
        <v>0</v>
      </c>
      <c r="BD81" s="12">
        <f>$I$29*$BD$29</f>
        <v>0</v>
      </c>
    </row>
    <row r="82" spans="1:56" ht="11.25" customHeight="1" x14ac:dyDescent="0.25">
      <c r="A82" s="9" t="s">
        <v>39</v>
      </c>
      <c r="B82" s="9" t="s">
        <v>717</v>
      </c>
      <c r="C82" s="9" t="s">
        <v>718</v>
      </c>
      <c r="D82" s="9" t="s">
        <v>719</v>
      </c>
      <c r="E82" s="9" t="s">
        <v>720</v>
      </c>
      <c r="F82" s="9" t="s">
        <v>721</v>
      </c>
      <c r="G82" s="9" t="s">
        <v>722</v>
      </c>
      <c r="L82" s="12">
        <f>$I$30*$L$30</f>
        <v>0</v>
      </c>
      <c r="M82" s="12">
        <f>$I$30*$M$30</f>
        <v>0</v>
      </c>
      <c r="N82" s="12">
        <f ca="1">$I$30*$N$30</f>
        <v>0</v>
      </c>
      <c r="O82" s="12">
        <f>$I$30*$O$30</f>
        <v>0</v>
      </c>
      <c r="P82" s="12">
        <f>$I$30*$P$30</f>
        <v>0</v>
      </c>
      <c r="Q82" s="12">
        <f>$I$30*$Q$30</f>
        <v>0</v>
      </c>
      <c r="R82" s="12">
        <f>$I$30*$R$30</f>
        <v>0</v>
      </c>
      <c r="S82" s="12">
        <f>$I$30*$S$30</f>
        <v>0</v>
      </c>
      <c r="T82" s="12">
        <f>$I$30*$T$30</f>
        <v>0</v>
      </c>
      <c r="U82" s="12">
        <f>$I$30*$U$30</f>
        <v>0</v>
      </c>
      <c r="V82" s="12">
        <f>$I$30*$V$30</f>
        <v>0</v>
      </c>
      <c r="W82" s="12">
        <f>$I$30*$W$30</f>
        <v>0</v>
      </c>
      <c r="X82" s="12">
        <f>$I$30*$X$30</f>
        <v>0</v>
      </c>
      <c r="Y82" s="12">
        <f>$I$30*$Y$30</f>
        <v>0</v>
      </c>
      <c r="Z82" s="12">
        <f>$I$30*$Z$30</f>
        <v>0</v>
      </c>
      <c r="AA82" s="12">
        <f>$I$30*$AA$30</f>
        <v>0</v>
      </c>
      <c r="AB82" s="12">
        <f ca="1">$I$30*$AB$30</f>
        <v>0</v>
      </c>
      <c r="AC82" s="12">
        <f ca="1">$I$30*$AC$30</f>
        <v>0</v>
      </c>
      <c r="AD82" s="12">
        <f>$I$30*$AD$30</f>
        <v>0</v>
      </c>
      <c r="AE82" s="12">
        <f>$I$30*$AE$30</f>
        <v>0</v>
      </c>
      <c r="AF82" s="12">
        <f ca="1">$I$30*$AF$30</f>
        <v>0</v>
      </c>
      <c r="AG82" s="12">
        <f ca="1">$I$30*$AG$30</f>
        <v>0</v>
      </c>
      <c r="AI82" s="12">
        <f>$I$30*$AI$30</f>
        <v>0</v>
      </c>
      <c r="AJ82" s="12">
        <f>$I$30*$AJ$30</f>
        <v>0</v>
      </c>
      <c r="AK82" s="12">
        <f>$I$30*$AK$30</f>
        <v>0</v>
      </c>
      <c r="AL82" s="12">
        <f>$I$30*$AL$30</f>
        <v>0</v>
      </c>
      <c r="AM82" s="12">
        <f>$I$30*$AM$30</f>
        <v>0</v>
      </c>
      <c r="AN82" s="12">
        <f>$I$30*$AN$30</f>
        <v>0</v>
      </c>
      <c r="AO82" s="12">
        <f>$I$30*$AO$30</f>
        <v>0</v>
      </c>
      <c r="AP82" s="12">
        <f>$I$30*$AP$30</f>
        <v>0</v>
      </c>
      <c r="AQ82" s="12">
        <f>$I$30*$AQ$30</f>
        <v>0</v>
      </c>
      <c r="AR82" s="12">
        <f>$I$30*$AR$30</f>
        <v>0</v>
      </c>
      <c r="AS82" s="12">
        <f>$I$30*$AS$30</f>
        <v>0</v>
      </c>
      <c r="AT82" s="12">
        <f>$I$30*$AT$30</f>
        <v>0</v>
      </c>
      <c r="AU82" s="12">
        <f>$I$30*$AU$30</f>
        <v>0</v>
      </c>
      <c r="AV82" s="12">
        <f>$I$30*$AV$30</f>
        <v>0</v>
      </c>
      <c r="AW82" s="12">
        <f>$I$30*$AW$30</f>
        <v>0</v>
      </c>
      <c r="AX82" s="12">
        <f>$I$30*$AX$30</f>
        <v>0</v>
      </c>
      <c r="AY82" s="12">
        <f>$I$30*$AY$30</f>
        <v>0</v>
      </c>
      <c r="AZ82" s="12">
        <f>$I$30*$AZ$30</f>
        <v>0</v>
      </c>
      <c r="BA82" s="12">
        <f>$I$30*$BA$30</f>
        <v>0</v>
      </c>
      <c r="BB82" s="12">
        <f>$I$30*$BB$30</f>
        <v>0</v>
      </c>
      <c r="BC82" s="12">
        <f>$I$30*$BC$30</f>
        <v>0</v>
      </c>
      <c r="BD82" s="12">
        <f>$I$30*$BD$30</f>
        <v>0</v>
      </c>
    </row>
    <row r="83" spans="1:56" ht="11.25" customHeight="1" x14ac:dyDescent="0.25">
      <c r="A83" s="9" t="s">
        <v>39</v>
      </c>
      <c r="B83" s="9" t="s">
        <v>717</v>
      </c>
      <c r="C83" s="9" t="s">
        <v>718</v>
      </c>
      <c r="D83" s="9" t="s">
        <v>719</v>
      </c>
      <c r="E83" s="9" t="s">
        <v>720</v>
      </c>
      <c r="F83" s="9" t="s">
        <v>721</v>
      </c>
      <c r="G83" s="9" t="s">
        <v>723</v>
      </c>
      <c r="L83" s="12">
        <f>$I$31*$L$31</f>
        <v>0</v>
      </c>
      <c r="M83" s="12">
        <f>$I$31*$M$31</f>
        <v>0</v>
      </c>
      <c r="N83" s="12">
        <f ca="1">$I$31*$N$31</f>
        <v>0</v>
      </c>
      <c r="O83" s="12">
        <f>$I$31*$O$31</f>
        <v>0</v>
      </c>
      <c r="P83" s="12">
        <f>$I$31*$P$31</f>
        <v>0</v>
      </c>
      <c r="Q83" s="12">
        <f>$I$31*$Q$31</f>
        <v>0</v>
      </c>
      <c r="R83" s="12">
        <f>$I$31*$R$31</f>
        <v>0</v>
      </c>
      <c r="S83" s="12">
        <f>$I$31*$S$31</f>
        <v>0</v>
      </c>
      <c r="T83" s="12">
        <f>$I$31*$T$31</f>
        <v>0</v>
      </c>
      <c r="U83" s="12">
        <f>$I$31*$U$31</f>
        <v>0</v>
      </c>
      <c r="V83" s="12">
        <f>$I$31*$V$31</f>
        <v>0</v>
      </c>
      <c r="W83" s="12">
        <f>$I$31*$W$31</f>
        <v>0</v>
      </c>
      <c r="X83" s="12">
        <f>$I$31*$X$31</f>
        <v>0</v>
      </c>
      <c r="Y83" s="12">
        <f>$I$31*$Y$31</f>
        <v>0</v>
      </c>
      <c r="Z83" s="12">
        <f>$I$31*$Z$31</f>
        <v>0</v>
      </c>
      <c r="AA83" s="12">
        <f>$I$31*$AA$31</f>
        <v>0</v>
      </c>
      <c r="AB83" s="12">
        <f ca="1">$I$31*$AB$31</f>
        <v>0</v>
      </c>
      <c r="AC83" s="12">
        <f ca="1">$I$31*$AC$31</f>
        <v>0</v>
      </c>
      <c r="AD83" s="12">
        <f>$I$31*$AD$31</f>
        <v>0</v>
      </c>
      <c r="AE83" s="12">
        <f>$I$31*$AE$31</f>
        <v>0</v>
      </c>
      <c r="AF83" s="12">
        <f ca="1">$I$31*$AF$31</f>
        <v>0</v>
      </c>
      <c r="AG83" s="12">
        <f ca="1">$I$31*$AG$31</f>
        <v>0</v>
      </c>
      <c r="AI83" s="12">
        <f>$I$31*$AI$31</f>
        <v>0</v>
      </c>
      <c r="AJ83" s="12">
        <f>$I$31*$AJ$31</f>
        <v>0</v>
      </c>
      <c r="AK83" s="12">
        <f>$I$31*$AK$31</f>
        <v>0</v>
      </c>
      <c r="AL83" s="12">
        <f>$I$31*$AL$31</f>
        <v>0</v>
      </c>
      <c r="AM83" s="12">
        <f>$I$31*$AM$31</f>
        <v>0</v>
      </c>
      <c r="AN83" s="12">
        <f>$I$31*$AN$31</f>
        <v>0</v>
      </c>
      <c r="AO83" s="12">
        <f>$I$31*$AO$31</f>
        <v>0</v>
      </c>
      <c r="AP83" s="12">
        <f>$I$31*$AP$31</f>
        <v>0</v>
      </c>
      <c r="AQ83" s="12">
        <f>$I$31*$AQ$31</f>
        <v>0</v>
      </c>
      <c r="AR83" s="12">
        <f>$I$31*$AR$31</f>
        <v>0</v>
      </c>
      <c r="AS83" s="12">
        <f>$I$31*$AS$31</f>
        <v>0</v>
      </c>
      <c r="AT83" s="12">
        <f>$I$31*$AT$31</f>
        <v>0</v>
      </c>
      <c r="AU83" s="12">
        <f>$I$31*$AU$31</f>
        <v>0</v>
      </c>
      <c r="AV83" s="12">
        <f>$I$31*$AV$31</f>
        <v>0</v>
      </c>
      <c r="AW83" s="12">
        <f>$I$31*$AW$31</f>
        <v>0</v>
      </c>
      <c r="AX83" s="12">
        <f>$I$31*$AX$31</f>
        <v>0</v>
      </c>
      <c r="AY83" s="12">
        <f>$I$31*$AY$31</f>
        <v>0</v>
      </c>
      <c r="AZ83" s="12">
        <f>$I$31*$AZ$31</f>
        <v>0</v>
      </c>
      <c r="BA83" s="12">
        <f>$I$31*$BA$31</f>
        <v>0</v>
      </c>
      <c r="BB83" s="12">
        <f>$I$31*$BB$31</f>
        <v>0</v>
      </c>
      <c r="BC83" s="12">
        <f>$I$31*$BC$31</f>
        <v>0</v>
      </c>
      <c r="BD83" s="12">
        <f>$I$31*$BD$31</f>
        <v>0</v>
      </c>
    </row>
    <row r="84" spans="1:56" ht="11.25" customHeight="1" x14ac:dyDescent="0.25">
      <c r="A84" s="9" t="s">
        <v>39</v>
      </c>
      <c r="B84" s="9" t="s">
        <v>717</v>
      </c>
      <c r="C84" s="9" t="s">
        <v>718</v>
      </c>
      <c r="D84" s="9" t="s">
        <v>719</v>
      </c>
      <c r="E84" s="9" t="s">
        <v>720</v>
      </c>
      <c r="F84" s="9" t="s">
        <v>721</v>
      </c>
      <c r="G84" s="9" t="s">
        <v>724</v>
      </c>
      <c r="L84" s="12">
        <f>$I$32*$L$32</f>
        <v>0</v>
      </c>
      <c r="M84" s="12">
        <f>$I$32*$M$32</f>
        <v>0</v>
      </c>
      <c r="N84" s="12">
        <f ca="1">$I$32*$N$32</f>
        <v>0</v>
      </c>
      <c r="O84" s="12">
        <f>$I$32*$O$32</f>
        <v>0</v>
      </c>
      <c r="P84" s="12">
        <f>$I$32*$P$32</f>
        <v>0</v>
      </c>
      <c r="Q84" s="12">
        <f>$I$32*$Q$32</f>
        <v>0</v>
      </c>
      <c r="R84" s="12">
        <f>$I$32*$R$32</f>
        <v>0</v>
      </c>
      <c r="S84" s="12">
        <f>$I$32*$S$32</f>
        <v>0</v>
      </c>
      <c r="T84" s="12">
        <f>$I$32*$T$32</f>
        <v>0</v>
      </c>
      <c r="U84" s="12">
        <f>$I$32*$U$32</f>
        <v>0</v>
      </c>
      <c r="V84" s="12">
        <f>$I$32*$V$32</f>
        <v>0</v>
      </c>
      <c r="W84" s="12">
        <f>$I$32*$W$32</f>
        <v>0</v>
      </c>
      <c r="X84" s="12">
        <f>$I$32*$X$32</f>
        <v>0</v>
      </c>
      <c r="Y84" s="12">
        <f>$I$32*$Y$32</f>
        <v>0</v>
      </c>
      <c r="Z84" s="12">
        <f>$I$32*$Z$32</f>
        <v>0</v>
      </c>
      <c r="AA84" s="12">
        <f>$I$32*$AA$32</f>
        <v>0</v>
      </c>
      <c r="AB84" s="12">
        <f ca="1">$I$32*$AB$32</f>
        <v>0</v>
      </c>
      <c r="AC84" s="12">
        <f ca="1">$I$32*$AC$32</f>
        <v>0</v>
      </c>
      <c r="AD84" s="12">
        <f>$I$32*$AD$32</f>
        <v>0</v>
      </c>
      <c r="AE84" s="12">
        <f>$I$32*$AE$32</f>
        <v>0</v>
      </c>
      <c r="AF84" s="12">
        <f ca="1">$I$32*$AF$32</f>
        <v>0</v>
      </c>
      <c r="AG84" s="12">
        <f ca="1">$I$32*$AG$32</f>
        <v>0</v>
      </c>
      <c r="AI84" s="12">
        <f>$I$32*$AI$32</f>
        <v>0</v>
      </c>
      <c r="AJ84" s="12">
        <f>$I$32*$AJ$32</f>
        <v>0</v>
      </c>
      <c r="AK84" s="12">
        <f>$I$32*$AK$32</f>
        <v>0</v>
      </c>
      <c r="AL84" s="12">
        <f>$I$32*$AL$32</f>
        <v>0</v>
      </c>
      <c r="AM84" s="12">
        <f>$I$32*$AM$32</f>
        <v>0</v>
      </c>
      <c r="AN84" s="12">
        <f>$I$32*$AN$32</f>
        <v>0</v>
      </c>
      <c r="AO84" s="12">
        <f>$I$32*$AO$32</f>
        <v>0</v>
      </c>
      <c r="AP84" s="12">
        <f>$I$32*$AP$32</f>
        <v>0</v>
      </c>
      <c r="AQ84" s="12">
        <f>$I$32*$AQ$32</f>
        <v>0</v>
      </c>
      <c r="AR84" s="12">
        <f>$I$32*$AR$32</f>
        <v>0</v>
      </c>
      <c r="AS84" s="12">
        <f>$I$32*$AS$32</f>
        <v>0</v>
      </c>
      <c r="AT84" s="12">
        <f>$I$32*$AT$32</f>
        <v>0</v>
      </c>
      <c r="AU84" s="12">
        <f>$I$32*$AU$32</f>
        <v>0</v>
      </c>
      <c r="AV84" s="12">
        <f>$I$32*$AV$32</f>
        <v>0</v>
      </c>
      <c r="AW84" s="12">
        <f>$I$32*$AW$32</f>
        <v>0</v>
      </c>
      <c r="AX84" s="12">
        <f>$I$32*$AX$32</f>
        <v>0</v>
      </c>
      <c r="AY84" s="12">
        <f>$I$32*$AY$32</f>
        <v>0</v>
      </c>
      <c r="AZ84" s="12">
        <f>$I$32*$AZ$32</f>
        <v>0</v>
      </c>
      <c r="BA84" s="12">
        <f>$I$32*$BA$32</f>
        <v>0</v>
      </c>
      <c r="BB84" s="12">
        <f>$I$32*$BB$32</f>
        <v>0</v>
      </c>
      <c r="BC84" s="12">
        <f>$I$32*$BC$32</f>
        <v>0</v>
      </c>
      <c r="BD84" s="12">
        <f>$I$32*$BD$32</f>
        <v>0</v>
      </c>
    </row>
    <row r="85" spans="1:56" ht="11.25" customHeight="1" x14ac:dyDescent="0.25">
      <c r="A85" s="9" t="s">
        <v>39</v>
      </c>
      <c r="B85" s="9" t="s">
        <v>725</v>
      </c>
      <c r="C85" s="9" t="s">
        <v>726</v>
      </c>
      <c r="D85" s="9" t="s">
        <v>727</v>
      </c>
      <c r="E85" s="9" t="s">
        <v>728</v>
      </c>
      <c r="F85" s="9" t="s">
        <v>729</v>
      </c>
      <c r="G85" s="9" t="s">
        <v>730</v>
      </c>
      <c r="L85" s="12">
        <f>$I$33*$L$33</f>
        <v>0</v>
      </c>
      <c r="M85" s="12">
        <f>$I$33*$M$33</f>
        <v>372.08693860378293</v>
      </c>
      <c r="N85" s="12">
        <f ca="1">$I$33*$N$33</f>
        <v>0</v>
      </c>
      <c r="O85" s="12">
        <f>$I$33*$O$33</f>
        <v>0</v>
      </c>
      <c r="P85" s="12">
        <f>$I$33*$P$33</f>
        <v>0</v>
      </c>
      <c r="Q85" s="12">
        <f>$I$33*$Q$33</f>
        <v>55777.230208277811</v>
      </c>
      <c r="R85" s="12">
        <f>$I$33*$R$33</f>
        <v>8817.8046428603448</v>
      </c>
      <c r="S85" s="12">
        <f>$I$33*$S$33</f>
        <v>0</v>
      </c>
      <c r="T85" s="12">
        <f>$I$33*$T$33</f>
        <v>0</v>
      </c>
      <c r="U85" s="12">
        <f>$I$33*$U$33</f>
        <v>0</v>
      </c>
      <c r="V85" s="12">
        <f>$I$33*$V$33</f>
        <v>0</v>
      </c>
      <c r="W85" s="12">
        <f>$I$33*$W$33</f>
        <v>0</v>
      </c>
      <c r="X85" s="12">
        <f>$I$33*$X$33</f>
        <v>23818.621667612675</v>
      </c>
      <c r="Y85" s="12">
        <f>$I$33*$Y$33</f>
        <v>0</v>
      </c>
      <c r="Z85" s="12">
        <f>$I$33*$Z$33</f>
        <v>0</v>
      </c>
      <c r="AA85" s="12">
        <f>$I$33*$AA$33</f>
        <v>82826.547161577604</v>
      </c>
      <c r="AB85" s="12">
        <f ca="1">$I$33*$AB$33</f>
        <v>-4491.7643472884547</v>
      </c>
      <c r="AC85" s="12">
        <f ca="1">$I$33*$AC$33</f>
        <v>0</v>
      </c>
      <c r="AD85" s="12">
        <f>$I$33*$AD$33</f>
        <v>8556.0635757851196</v>
      </c>
      <c r="AE85" s="12">
        <f>$I$33*$AE$33</f>
        <v>0</v>
      </c>
      <c r="AF85" s="12">
        <f ca="1">$I$33*$AF$33</f>
        <v>0</v>
      </c>
      <c r="AG85" s="12">
        <f ca="1">$I$33*$AG$33</f>
        <v>0</v>
      </c>
      <c r="AI85" s="12">
        <f>$I$33*$AI$33</f>
        <v>0</v>
      </c>
      <c r="AJ85" s="12">
        <f>$I$33*$AJ$33</f>
        <v>278.05965016847148</v>
      </c>
      <c r="AK85" s="12">
        <f>$I$33*$AK$33</f>
        <v>0</v>
      </c>
      <c r="AL85" s="12">
        <f>$I$33*$AL$33</f>
        <v>0</v>
      </c>
      <c r="AM85" s="12">
        <f>$I$33*$AM$33</f>
        <v>0</v>
      </c>
      <c r="AN85" s="12">
        <f>$I$33*$AN$33</f>
        <v>32745.592651481762</v>
      </c>
      <c r="AO85" s="12">
        <f>$I$33*$AO$33</f>
        <v>5137.9804432484134</v>
      </c>
      <c r="AP85" s="12">
        <f>$I$33*$AP$33</f>
        <v>0</v>
      </c>
      <c r="AQ85" s="12">
        <f>$I$33*$AQ$33</f>
        <v>0</v>
      </c>
      <c r="AR85" s="12">
        <f>$I$33*$AR$33</f>
        <v>0</v>
      </c>
      <c r="AS85" s="12">
        <f>$I$33*$AS$33</f>
        <v>0</v>
      </c>
      <c r="AT85" s="12">
        <f>$I$33*$AT$33</f>
        <v>0</v>
      </c>
      <c r="AU85" s="12">
        <f>$I$33*$AU$33</f>
        <v>26187.788080195831</v>
      </c>
      <c r="AV85" s="12">
        <f>$I$33*$AV$33</f>
        <v>0</v>
      </c>
      <c r="AW85" s="12">
        <f>$I$33*$AW$33</f>
        <v>0</v>
      </c>
      <c r="AX85" s="12">
        <f>$I$33*$AX$33</f>
        <v>65521.584687354945</v>
      </c>
      <c r="AY85" s="12">
        <f>$I$33*$AY$33</f>
        <v>0</v>
      </c>
      <c r="AZ85" s="12">
        <f>$I$33*$AZ$33</f>
        <v>0</v>
      </c>
      <c r="BA85" s="12">
        <f>$I$33*$BA$33</f>
        <v>966.49787785550541</v>
      </c>
      <c r="BB85" s="12">
        <f>$I$33*$BB$33</f>
        <v>0</v>
      </c>
      <c r="BC85" s="12">
        <f>$I$33*$BC$33</f>
        <v>0</v>
      </c>
      <c r="BD85" s="12">
        <f>$I$33*$BD$33</f>
        <v>0</v>
      </c>
    </row>
    <row r="86" spans="1:56" ht="11.25" customHeight="1" x14ac:dyDescent="0.25">
      <c r="A86" s="9" t="s">
        <v>39</v>
      </c>
      <c r="B86" s="9" t="s">
        <v>717</v>
      </c>
      <c r="C86" s="9" t="s">
        <v>718</v>
      </c>
      <c r="D86" s="9" t="s">
        <v>731</v>
      </c>
      <c r="E86" s="9" t="s">
        <v>732</v>
      </c>
      <c r="F86" s="9" t="s">
        <v>733</v>
      </c>
      <c r="G86" s="9" t="s">
        <v>734</v>
      </c>
      <c r="L86" s="12">
        <f>$I$34*$L$34</f>
        <v>0</v>
      </c>
      <c r="M86" s="12">
        <f>$I$34*$M$34</f>
        <v>0</v>
      </c>
      <c r="N86" s="12">
        <f ca="1">$I$34*$N$34</f>
        <v>0</v>
      </c>
      <c r="O86" s="12">
        <f>$I$34*$O$34</f>
        <v>0</v>
      </c>
      <c r="P86" s="12">
        <f>$I$34*$P$34</f>
        <v>0</v>
      </c>
      <c r="Q86" s="12">
        <f>$I$34*$Q$34</f>
        <v>0</v>
      </c>
      <c r="R86" s="12">
        <f>$I$34*$R$34</f>
        <v>0</v>
      </c>
      <c r="S86" s="12">
        <f>$I$34*$S$34</f>
        <v>0</v>
      </c>
      <c r="T86" s="12">
        <f>$I$34*$T$34</f>
        <v>0</v>
      </c>
      <c r="U86" s="12">
        <f>$I$34*$U$34</f>
        <v>0</v>
      </c>
      <c r="V86" s="12">
        <f>$I$34*$V$34</f>
        <v>0</v>
      </c>
      <c r="W86" s="12">
        <f>$I$34*$W$34</f>
        <v>0</v>
      </c>
      <c r="X86" s="12">
        <f>$I$34*$X$34</f>
        <v>0</v>
      </c>
      <c r="Y86" s="12">
        <f>$I$34*$Y$34</f>
        <v>0</v>
      </c>
      <c r="Z86" s="12">
        <f>$I$34*$Z$34</f>
        <v>0</v>
      </c>
      <c r="AA86" s="12">
        <f>$I$34*$AA$34</f>
        <v>0</v>
      </c>
      <c r="AB86" s="12">
        <f ca="1">$I$34*$AB$34</f>
        <v>0</v>
      </c>
      <c r="AC86" s="12">
        <f ca="1">$I$34*$AC$34</f>
        <v>0</v>
      </c>
      <c r="AD86" s="12">
        <f>$I$34*$AD$34</f>
        <v>0</v>
      </c>
      <c r="AE86" s="12">
        <f>$I$34*$AE$34</f>
        <v>0</v>
      </c>
      <c r="AF86" s="12">
        <f ca="1">$I$34*$AF$34</f>
        <v>0</v>
      </c>
      <c r="AG86" s="12">
        <f ca="1">$I$34*$AG$34</f>
        <v>0</v>
      </c>
      <c r="AI86" s="12">
        <f>$I$34*$AI$34</f>
        <v>0</v>
      </c>
      <c r="AJ86" s="12">
        <f>$I$34*$AJ$34</f>
        <v>0</v>
      </c>
      <c r="AK86" s="12">
        <f>$I$34*$AK$34</f>
        <v>0</v>
      </c>
      <c r="AL86" s="12">
        <f>$I$34*$AL$34</f>
        <v>0</v>
      </c>
      <c r="AM86" s="12">
        <f>$I$34*$AM$34</f>
        <v>0</v>
      </c>
      <c r="AN86" s="12">
        <f>$I$34*$AN$34</f>
        <v>0</v>
      </c>
      <c r="AO86" s="12">
        <f>$I$34*$AO$34</f>
        <v>0</v>
      </c>
      <c r="AP86" s="12">
        <f>$I$34*$AP$34</f>
        <v>0</v>
      </c>
      <c r="AQ86" s="12">
        <f>$I$34*$AQ$34</f>
        <v>0</v>
      </c>
      <c r="AR86" s="12">
        <f>$I$34*$AR$34</f>
        <v>0</v>
      </c>
      <c r="AS86" s="12">
        <f>$I$34*$AS$34</f>
        <v>0</v>
      </c>
      <c r="AT86" s="12">
        <f>$I$34*$AT$34</f>
        <v>0</v>
      </c>
      <c r="AU86" s="12">
        <f>$I$34*$AU$34</f>
        <v>0</v>
      </c>
      <c r="AV86" s="12">
        <f>$I$34*$AV$34</f>
        <v>0</v>
      </c>
      <c r="AW86" s="12">
        <f>$I$34*$AW$34</f>
        <v>0</v>
      </c>
      <c r="AX86" s="12">
        <f>$I$34*$AX$34</f>
        <v>0</v>
      </c>
      <c r="AY86" s="12">
        <f>$I$34*$AY$34</f>
        <v>0</v>
      </c>
      <c r="AZ86" s="12">
        <f>$I$34*$AZ$34</f>
        <v>0</v>
      </c>
      <c r="BA86" s="12">
        <f>$I$34*$BA$34</f>
        <v>0</v>
      </c>
      <c r="BB86" s="12">
        <f>$I$34*$BB$34</f>
        <v>0</v>
      </c>
      <c r="BC86" s="12">
        <f>$I$34*$BC$34</f>
        <v>0</v>
      </c>
      <c r="BD86" s="12">
        <f>$I$34*$BD$34</f>
        <v>0</v>
      </c>
    </row>
    <row r="87" spans="1:56" ht="11.25" customHeight="1" x14ac:dyDescent="0.25">
      <c r="A87" s="9" t="s">
        <v>39</v>
      </c>
      <c r="B87" s="9" t="s">
        <v>717</v>
      </c>
      <c r="C87" s="9" t="s">
        <v>718</v>
      </c>
      <c r="D87" s="9" t="s">
        <v>731</v>
      </c>
      <c r="E87" s="9" t="s">
        <v>732</v>
      </c>
      <c r="F87" s="9" t="s">
        <v>733</v>
      </c>
      <c r="G87" s="9" t="s">
        <v>735</v>
      </c>
      <c r="L87" s="12">
        <f>$I$35*$L$35</f>
        <v>0</v>
      </c>
      <c r="M87" s="12">
        <f>$I$35*$M$35</f>
        <v>0</v>
      </c>
      <c r="N87" s="12">
        <f ca="1">$I$35*$N$35</f>
        <v>0</v>
      </c>
      <c r="O87" s="12">
        <f>$I$35*$O$35</f>
        <v>0</v>
      </c>
      <c r="P87" s="12">
        <f>$I$35*$P$35</f>
        <v>0</v>
      </c>
      <c r="Q87" s="12">
        <f>$I$35*$Q$35</f>
        <v>0</v>
      </c>
      <c r="R87" s="12">
        <f>$I$35*$R$35</f>
        <v>0</v>
      </c>
      <c r="S87" s="12">
        <f>$I$35*$S$35</f>
        <v>0</v>
      </c>
      <c r="T87" s="12">
        <f>$I$35*$T$35</f>
        <v>0</v>
      </c>
      <c r="U87" s="12">
        <f>$I$35*$U$35</f>
        <v>0</v>
      </c>
      <c r="V87" s="12">
        <f>$I$35*$V$35</f>
        <v>0</v>
      </c>
      <c r="W87" s="12">
        <f>$I$35*$W$35</f>
        <v>0</v>
      </c>
      <c r="X87" s="12">
        <f>$I$35*$X$35</f>
        <v>0</v>
      </c>
      <c r="Y87" s="12">
        <f>$I$35*$Y$35</f>
        <v>0</v>
      </c>
      <c r="Z87" s="12">
        <f>$I$35*$Z$35</f>
        <v>0</v>
      </c>
      <c r="AA87" s="12">
        <f>$I$35*$AA$35</f>
        <v>0</v>
      </c>
      <c r="AB87" s="12">
        <f ca="1">$I$35*$AB$35</f>
        <v>0</v>
      </c>
      <c r="AC87" s="12">
        <f ca="1">$I$35*$AC$35</f>
        <v>0</v>
      </c>
      <c r="AD87" s="12">
        <f>$I$35*$AD$35</f>
        <v>0</v>
      </c>
      <c r="AE87" s="12">
        <f>$I$35*$AE$35</f>
        <v>0</v>
      </c>
      <c r="AF87" s="12">
        <f ca="1">$I$35*$AF$35</f>
        <v>0</v>
      </c>
      <c r="AG87" s="12">
        <f ca="1">$I$35*$AG$35</f>
        <v>0</v>
      </c>
      <c r="AI87" s="12">
        <f>$I$35*$AI$35</f>
        <v>0</v>
      </c>
      <c r="AJ87" s="12">
        <f>$I$35*$AJ$35</f>
        <v>0</v>
      </c>
      <c r="AK87" s="12">
        <f>$I$35*$AK$35</f>
        <v>0</v>
      </c>
      <c r="AL87" s="12">
        <f>$I$35*$AL$35</f>
        <v>0</v>
      </c>
      <c r="AM87" s="12">
        <f>$I$35*$AM$35</f>
        <v>0</v>
      </c>
      <c r="AN87" s="12">
        <f>$I$35*$AN$35</f>
        <v>0</v>
      </c>
      <c r="AO87" s="12">
        <f>$I$35*$AO$35</f>
        <v>0</v>
      </c>
      <c r="AP87" s="12">
        <f>$I$35*$AP$35</f>
        <v>0</v>
      </c>
      <c r="AQ87" s="12">
        <f>$I$35*$AQ$35</f>
        <v>0</v>
      </c>
      <c r="AR87" s="12">
        <f>$I$35*$AR$35</f>
        <v>0</v>
      </c>
      <c r="AS87" s="12">
        <f>$I$35*$AS$35</f>
        <v>0</v>
      </c>
      <c r="AT87" s="12">
        <f>$I$35*$AT$35</f>
        <v>0</v>
      </c>
      <c r="AU87" s="12">
        <f>$I$35*$AU$35</f>
        <v>0</v>
      </c>
      <c r="AV87" s="12">
        <f>$I$35*$AV$35</f>
        <v>0</v>
      </c>
      <c r="AW87" s="12">
        <f>$I$35*$AW$35</f>
        <v>0</v>
      </c>
      <c r="AX87" s="12">
        <f>$I$35*$AX$35</f>
        <v>0</v>
      </c>
      <c r="AY87" s="12">
        <f>$I$35*$AY$35</f>
        <v>0</v>
      </c>
      <c r="AZ87" s="12">
        <f>$I$35*$AZ$35</f>
        <v>0</v>
      </c>
      <c r="BA87" s="12">
        <f>$I$35*$BA$35</f>
        <v>0</v>
      </c>
      <c r="BB87" s="12">
        <f>$I$35*$BB$35</f>
        <v>0</v>
      </c>
      <c r="BC87" s="12">
        <f>$I$35*$BC$35</f>
        <v>0</v>
      </c>
      <c r="BD87" s="12">
        <f>$I$35*$BD$35</f>
        <v>0</v>
      </c>
    </row>
    <row r="88" spans="1:56" ht="11.25" customHeight="1" x14ac:dyDescent="0.25">
      <c r="A88" s="9" t="s">
        <v>39</v>
      </c>
      <c r="B88" s="9" t="s">
        <v>717</v>
      </c>
      <c r="C88" s="9" t="s">
        <v>718</v>
      </c>
      <c r="D88" s="9" t="s">
        <v>731</v>
      </c>
      <c r="E88" s="9" t="s">
        <v>732</v>
      </c>
      <c r="F88" s="9" t="s">
        <v>733</v>
      </c>
      <c r="G88" s="9" t="s">
        <v>736</v>
      </c>
      <c r="L88" s="12">
        <f>$I$36*$L$36</f>
        <v>0</v>
      </c>
      <c r="M88" s="12">
        <f>$I$36*$M$36</f>
        <v>0</v>
      </c>
      <c r="N88" s="12">
        <f ca="1">$I$36*$N$36</f>
        <v>0</v>
      </c>
      <c r="O88" s="12">
        <f>$I$36*$O$36</f>
        <v>0</v>
      </c>
      <c r="P88" s="12">
        <f>$I$36*$P$36</f>
        <v>0</v>
      </c>
      <c r="Q88" s="12">
        <f>$I$36*$Q$36</f>
        <v>0</v>
      </c>
      <c r="R88" s="12">
        <f>$I$36*$R$36</f>
        <v>0</v>
      </c>
      <c r="S88" s="12">
        <f>$I$36*$S$36</f>
        <v>0</v>
      </c>
      <c r="T88" s="12">
        <f>$I$36*$T$36</f>
        <v>0</v>
      </c>
      <c r="U88" s="12">
        <f>$I$36*$U$36</f>
        <v>0</v>
      </c>
      <c r="V88" s="12">
        <f>$I$36*$V$36</f>
        <v>0</v>
      </c>
      <c r="W88" s="12">
        <f>$I$36*$W$36</f>
        <v>0</v>
      </c>
      <c r="X88" s="12">
        <f>$I$36*$X$36</f>
        <v>0</v>
      </c>
      <c r="Y88" s="12">
        <f>$I$36*$Y$36</f>
        <v>0</v>
      </c>
      <c r="Z88" s="12">
        <f>$I$36*$Z$36</f>
        <v>0</v>
      </c>
      <c r="AA88" s="12">
        <f>$I$36*$AA$36</f>
        <v>0</v>
      </c>
      <c r="AB88" s="12">
        <f ca="1">$I$36*$AB$36</f>
        <v>0</v>
      </c>
      <c r="AC88" s="12">
        <f ca="1">$I$36*$AC$36</f>
        <v>0</v>
      </c>
      <c r="AD88" s="12">
        <f>$I$36*$AD$36</f>
        <v>0</v>
      </c>
      <c r="AE88" s="12">
        <f>$I$36*$AE$36</f>
        <v>0</v>
      </c>
      <c r="AF88" s="12">
        <f ca="1">$I$36*$AF$36</f>
        <v>0</v>
      </c>
      <c r="AG88" s="12">
        <f ca="1">$I$36*$AG$36</f>
        <v>0</v>
      </c>
      <c r="AI88" s="12">
        <f>$I$36*$AI$36</f>
        <v>0</v>
      </c>
      <c r="AJ88" s="12">
        <f>$I$36*$AJ$36</f>
        <v>0</v>
      </c>
      <c r="AK88" s="12">
        <f>$I$36*$AK$36</f>
        <v>0</v>
      </c>
      <c r="AL88" s="12">
        <f>$I$36*$AL$36</f>
        <v>0</v>
      </c>
      <c r="AM88" s="12">
        <f>$I$36*$AM$36</f>
        <v>0</v>
      </c>
      <c r="AN88" s="12">
        <f>$I$36*$AN$36</f>
        <v>0</v>
      </c>
      <c r="AO88" s="12">
        <f>$I$36*$AO$36</f>
        <v>0</v>
      </c>
      <c r="AP88" s="12">
        <f>$I$36*$AP$36</f>
        <v>0</v>
      </c>
      <c r="AQ88" s="12">
        <f>$I$36*$AQ$36</f>
        <v>0</v>
      </c>
      <c r="AR88" s="12">
        <f>$I$36*$AR$36</f>
        <v>0</v>
      </c>
      <c r="AS88" s="12">
        <f>$I$36*$AS$36</f>
        <v>0</v>
      </c>
      <c r="AT88" s="12">
        <f>$I$36*$AT$36</f>
        <v>0</v>
      </c>
      <c r="AU88" s="12">
        <f>$I$36*$AU$36</f>
        <v>0</v>
      </c>
      <c r="AV88" s="12">
        <f>$I$36*$AV$36</f>
        <v>0</v>
      </c>
      <c r="AW88" s="12">
        <f>$I$36*$AW$36</f>
        <v>0</v>
      </c>
      <c r="AX88" s="12">
        <f>$I$36*$AX$36</f>
        <v>0</v>
      </c>
      <c r="AY88" s="12">
        <f>$I$36*$AY$36</f>
        <v>0</v>
      </c>
      <c r="AZ88" s="12">
        <f>$I$36*$AZ$36</f>
        <v>0</v>
      </c>
      <c r="BA88" s="12">
        <f>$I$36*$BA$36</f>
        <v>0</v>
      </c>
      <c r="BB88" s="12">
        <f>$I$36*$BB$36</f>
        <v>0</v>
      </c>
      <c r="BC88" s="12">
        <f>$I$36*$BC$36</f>
        <v>0</v>
      </c>
      <c r="BD88" s="12">
        <f>$I$36*$BD$36</f>
        <v>0</v>
      </c>
    </row>
    <row r="89" spans="1:56" ht="11.25" customHeight="1" x14ac:dyDescent="0.25">
      <c r="A89" s="9" t="s">
        <v>39</v>
      </c>
      <c r="B89" s="9" t="s">
        <v>725</v>
      </c>
      <c r="C89" s="9" t="s">
        <v>726</v>
      </c>
      <c r="D89" s="9" t="s">
        <v>737</v>
      </c>
      <c r="E89" s="9" t="s">
        <v>738</v>
      </c>
      <c r="F89" s="9" t="s">
        <v>739</v>
      </c>
      <c r="G89" s="9" t="s">
        <v>740</v>
      </c>
      <c r="L89" s="12">
        <f>$I$37*$L$37</f>
        <v>0</v>
      </c>
      <c r="M89" s="12">
        <f>$I$37*$M$37</f>
        <v>0</v>
      </c>
      <c r="N89" s="12">
        <f ca="1">$I$37*$N$37</f>
        <v>0</v>
      </c>
      <c r="O89" s="12">
        <f>$I$37*$O$37</f>
        <v>0</v>
      </c>
      <c r="P89" s="12">
        <f>$I$37*$P$37</f>
        <v>0</v>
      </c>
      <c r="Q89" s="12">
        <f>$I$37*$Q$37</f>
        <v>0</v>
      </c>
      <c r="R89" s="12">
        <f>$I$37*$R$37</f>
        <v>0</v>
      </c>
      <c r="S89" s="12">
        <f>$I$37*$S$37</f>
        <v>0</v>
      </c>
      <c r="T89" s="12">
        <f>$I$37*$T$37</f>
        <v>0</v>
      </c>
      <c r="U89" s="12">
        <f>$I$37*$U$37</f>
        <v>0</v>
      </c>
      <c r="V89" s="12">
        <f>$I$37*$V$37</f>
        <v>0</v>
      </c>
      <c r="W89" s="12">
        <f>$I$37*$W$37</f>
        <v>0</v>
      </c>
      <c r="X89" s="12">
        <f>$I$37*$X$37</f>
        <v>0</v>
      </c>
      <c r="Y89" s="12">
        <f>$I$37*$Y$37</f>
        <v>0</v>
      </c>
      <c r="Z89" s="12">
        <f>$I$37*$Z$37</f>
        <v>0</v>
      </c>
      <c r="AA89" s="12">
        <f>$I$37*$AA$37</f>
        <v>0</v>
      </c>
      <c r="AB89" s="12">
        <f ca="1">$I$37*$AB$37</f>
        <v>0</v>
      </c>
      <c r="AC89" s="12">
        <f ca="1">$I$37*$AC$37</f>
        <v>0</v>
      </c>
      <c r="AD89" s="12">
        <f>$I$37*$AD$37</f>
        <v>0</v>
      </c>
      <c r="AE89" s="12">
        <f>$I$37*$AE$37</f>
        <v>0</v>
      </c>
      <c r="AF89" s="12">
        <f ca="1">$I$37*$AF$37</f>
        <v>0</v>
      </c>
      <c r="AG89" s="12">
        <f ca="1">$I$37*$AG$37</f>
        <v>0</v>
      </c>
      <c r="AI89" s="12">
        <f>$I$37*$AI$37</f>
        <v>0</v>
      </c>
      <c r="AJ89" s="12">
        <f>$I$37*$AJ$37</f>
        <v>0</v>
      </c>
      <c r="AK89" s="12">
        <f>$I$37*$AK$37</f>
        <v>0</v>
      </c>
      <c r="AL89" s="12">
        <f>$I$37*$AL$37</f>
        <v>0</v>
      </c>
      <c r="AM89" s="12">
        <f>$I$37*$AM$37</f>
        <v>0</v>
      </c>
      <c r="AN89" s="12">
        <f>$I$37*$AN$37</f>
        <v>0</v>
      </c>
      <c r="AO89" s="12">
        <f>$I$37*$AO$37</f>
        <v>0</v>
      </c>
      <c r="AP89" s="12">
        <f>$I$37*$AP$37</f>
        <v>0</v>
      </c>
      <c r="AQ89" s="12">
        <f>$I$37*$AQ$37</f>
        <v>0</v>
      </c>
      <c r="AR89" s="12">
        <f>$I$37*$AR$37</f>
        <v>0</v>
      </c>
      <c r="AS89" s="12">
        <f>$I$37*$AS$37</f>
        <v>0</v>
      </c>
      <c r="AT89" s="12">
        <f>$I$37*$AT$37</f>
        <v>0</v>
      </c>
      <c r="AU89" s="12">
        <f>$I$37*$AU$37</f>
        <v>0</v>
      </c>
      <c r="AV89" s="12">
        <f>$I$37*$AV$37</f>
        <v>0</v>
      </c>
      <c r="AW89" s="12">
        <f>$I$37*$AW$37</f>
        <v>0</v>
      </c>
      <c r="AX89" s="12">
        <f>$I$37*$AX$37</f>
        <v>0</v>
      </c>
      <c r="AY89" s="12">
        <f>$I$37*$AY$37</f>
        <v>0</v>
      </c>
      <c r="AZ89" s="12">
        <f>$I$37*$AZ$37</f>
        <v>0</v>
      </c>
      <c r="BA89" s="12">
        <f>$I$37*$BA$37</f>
        <v>0</v>
      </c>
      <c r="BB89" s="12">
        <f>$I$37*$BB$37</f>
        <v>0</v>
      </c>
      <c r="BC89" s="12">
        <f>$I$37*$BC$37</f>
        <v>0</v>
      </c>
      <c r="BD89" s="12">
        <f>$I$37*$BD$37</f>
        <v>0</v>
      </c>
    </row>
    <row r="90" spans="1:56" ht="11.25" customHeight="1" x14ac:dyDescent="0.25">
      <c r="A90" s="9" t="s">
        <v>39</v>
      </c>
      <c r="B90" s="9" t="s">
        <v>717</v>
      </c>
      <c r="C90" s="9" t="s">
        <v>718</v>
      </c>
      <c r="D90" s="9" t="s">
        <v>741</v>
      </c>
      <c r="E90" s="9" t="s">
        <v>742</v>
      </c>
      <c r="F90" s="9" t="s">
        <v>743</v>
      </c>
      <c r="G90" s="9" t="s">
        <v>744</v>
      </c>
      <c r="L90" s="12">
        <f>$I$38*$L$38</f>
        <v>0</v>
      </c>
      <c r="M90" s="12">
        <f>$I$38*$M$38</f>
        <v>0</v>
      </c>
      <c r="N90" s="12">
        <f ca="1">$I$38*$N$38</f>
        <v>0</v>
      </c>
      <c r="O90" s="12">
        <f>$I$38*$O$38</f>
        <v>0</v>
      </c>
      <c r="P90" s="12">
        <f>$I$38*$P$38</f>
        <v>0</v>
      </c>
      <c r="Q90" s="12">
        <f>$I$38*$Q$38</f>
        <v>0</v>
      </c>
      <c r="R90" s="12">
        <f>$I$38*$R$38</f>
        <v>0</v>
      </c>
      <c r="S90" s="12">
        <f>$I$38*$S$38</f>
        <v>0</v>
      </c>
      <c r="T90" s="12">
        <f>$I$38*$T$38</f>
        <v>0</v>
      </c>
      <c r="U90" s="12">
        <f>$I$38*$U$38</f>
        <v>0</v>
      </c>
      <c r="V90" s="12">
        <f>$I$38*$V$38</f>
        <v>0</v>
      </c>
      <c r="W90" s="12">
        <f>$I$38*$W$38</f>
        <v>0</v>
      </c>
      <c r="X90" s="12">
        <f>$I$38*$X$38</f>
        <v>0</v>
      </c>
      <c r="Y90" s="12">
        <f>$I$38*$Y$38</f>
        <v>0</v>
      </c>
      <c r="Z90" s="12">
        <f>$I$38*$Z$38</f>
        <v>0</v>
      </c>
      <c r="AA90" s="12">
        <f>$I$38*$AA$38</f>
        <v>0</v>
      </c>
      <c r="AB90" s="12">
        <f ca="1">$I$38*$AB$38</f>
        <v>0</v>
      </c>
      <c r="AC90" s="12">
        <f ca="1">$I$38*$AC$38</f>
        <v>0</v>
      </c>
      <c r="AD90" s="12">
        <f>$I$38*$AD$38</f>
        <v>0</v>
      </c>
      <c r="AE90" s="12">
        <f>$I$38*$AE$38</f>
        <v>0</v>
      </c>
      <c r="AF90" s="12">
        <f ca="1">$I$38*$AF$38</f>
        <v>0</v>
      </c>
      <c r="AG90" s="12">
        <f ca="1">$I$38*$AG$38</f>
        <v>0</v>
      </c>
      <c r="AI90" s="12">
        <f>$I$38*$AI$38</f>
        <v>0</v>
      </c>
      <c r="AJ90" s="12">
        <f>$I$38*$AJ$38</f>
        <v>0</v>
      </c>
      <c r="AK90" s="12">
        <f>$I$38*$AK$38</f>
        <v>0</v>
      </c>
      <c r="AL90" s="12">
        <f>$I$38*$AL$38</f>
        <v>0</v>
      </c>
      <c r="AM90" s="12">
        <f>$I$38*$AM$38</f>
        <v>0</v>
      </c>
      <c r="AN90" s="12">
        <f>$I$38*$AN$38</f>
        <v>0</v>
      </c>
      <c r="AO90" s="12">
        <f>$I$38*$AO$38</f>
        <v>0</v>
      </c>
      <c r="AP90" s="12">
        <f>$I$38*$AP$38</f>
        <v>0</v>
      </c>
      <c r="AQ90" s="12">
        <f>$I$38*$AQ$38</f>
        <v>0</v>
      </c>
      <c r="AR90" s="12">
        <f>$I$38*$AR$38</f>
        <v>0</v>
      </c>
      <c r="AS90" s="12">
        <f>$I$38*$AS$38</f>
        <v>0</v>
      </c>
      <c r="AT90" s="12">
        <f>$I$38*$AT$38</f>
        <v>0</v>
      </c>
      <c r="AU90" s="12">
        <f>$I$38*$AU$38</f>
        <v>0</v>
      </c>
      <c r="AV90" s="12">
        <f>$I$38*$AV$38</f>
        <v>0</v>
      </c>
      <c r="AW90" s="12">
        <f>$I$38*$AW$38</f>
        <v>0</v>
      </c>
      <c r="AX90" s="12">
        <f>$I$38*$AX$38</f>
        <v>0</v>
      </c>
      <c r="AY90" s="12">
        <f>$I$38*$AY$38</f>
        <v>0</v>
      </c>
      <c r="AZ90" s="12">
        <f>$I$38*$AZ$38</f>
        <v>0</v>
      </c>
      <c r="BA90" s="12">
        <f>$I$38*$BA$38</f>
        <v>0</v>
      </c>
      <c r="BB90" s="12">
        <f>$I$38*$BB$38</f>
        <v>0</v>
      </c>
      <c r="BC90" s="12">
        <f>$I$38*$BC$38</f>
        <v>0</v>
      </c>
      <c r="BD90" s="12">
        <f>$I$38*$BD$38</f>
        <v>0</v>
      </c>
    </row>
    <row r="91" spans="1:56" ht="11.25" customHeight="1" x14ac:dyDescent="0.25">
      <c r="A91" s="9" t="s">
        <v>39</v>
      </c>
      <c r="B91" s="9" t="s">
        <v>717</v>
      </c>
      <c r="C91" s="9" t="s">
        <v>718</v>
      </c>
      <c r="D91" s="9" t="s">
        <v>741</v>
      </c>
      <c r="E91" s="9" t="s">
        <v>742</v>
      </c>
      <c r="F91" s="9" t="s">
        <v>743</v>
      </c>
      <c r="G91" s="9" t="s">
        <v>745</v>
      </c>
      <c r="L91" s="12">
        <f>$I$39*$L$39</f>
        <v>0</v>
      </c>
      <c r="M91" s="12">
        <f>$I$39*$M$39</f>
        <v>0</v>
      </c>
      <c r="N91" s="12">
        <f ca="1">$I$39*$N$39</f>
        <v>0</v>
      </c>
      <c r="O91" s="12">
        <f>$I$39*$O$39</f>
        <v>0</v>
      </c>
      <c r="P91" s="12">
        <f>$I$39*$P$39</f>
        <v>0</v>
      </c>
      <c r="Q91" s="12">
        <f>$I$39*$Q$39</f>
        <v>0</v>
      </c>
      <c r="R91" s="12">
        <f>$I$39*$R$39</f>
        <v>0</v>
      </c>
      <c r="S91" s="12">
        <f>$I$39*$S$39</f>
        <v>0</v>
      </c>
      <c r="T91" s="12">
        <f>$I$39*$T$39</f>
        <v>0</v>
      </c>
      <c r="U91" s="12">
        <f>$I$39*$U$39</f>
        <v>0</v>
      </c>
      <c r="V91" s="12">
        <f>$I$39*$V$39</f>
        <v>0</v>
      </c>
      <c r="W91" s="12">
        <f>$I$39*$W$39</f>
        <v>0</v>
      </c>
      <c r="X91" s="12">
        <f>$I$39*$X$39</f>
        <v>0</v>
      </c>
      <c r="Y91" s="12">
        <f>$I$39*$Y$39</f>
        <v>0</v>
      </c>
      <c r="Z91" s="12">
        <f>$I$39*$Z$39</f>
        <v>0</v>
      </c>
      <c r="AA91" s="12">
        <f>$I$39*$AA$39</f>
        <v>0</v>
      </c>
      <c r="AB91" s="12">
        <f ca="1">$I$39*$AB$39</f>
        <v>0</v>
      </c>
      <c r="AC91" s="12">
        <f ca="1">$I$39*$AC$39</f>
        <v>0</v>
      </c>
      <c r="AD91" s="12">
        <f>$I$39*$AD$39</f>
        <v>0</v>
      </c>
      <c r="AE91" s="12">
        <f>$I$39*$AE$39</f>
        <v>0</v>
      </c>
      <c r="AF91" s="12">
        <f ca="1">$I$39*$AF$39</f>
        <v>0</v>
      </c>
      <c r="AG91" s="12">
        <f ca="1">$I$39*$AG$39</f>
        <v>0</v>
      </c>
      <c r="AI91" s="12">
        <f>$I$39*$AI$39</f>
        <v>0</v>
      </c>
      <c r="AJ91" s="12">
        <f>$I$39*$AJ$39</f>
        <v>0</v>
      </c>
      <c r="AK91" s="12">
        <f>$I$39*$AK$39</f>
        <v>0</v>
      </c>
      <c r="AL91" s="12">
        <f>$I$39*$AL$39</f>
        <v>0</v>
      </c>
      <c r="AM91" s="12">
        <f>$I$39*$AM$39</f>
        <v>0</v>
      </c>
      <c r="AN91" s="12">
        <f>$I$39*$AN$39</f>
        <v>0</v>
      </c>
      <c r="AO91" s="12">
        <f>$I$39*$AO$39</f>
        <v>0</v>
      </c>
      <c r="AP91" s="12">
        <f>$I$39*$AP$39</f>
        <v>0</v>
      </c>
      <c r="AQ91" s="12">
        <f>$I$39*$AQ$39</f>
        <v>0</v>
      </c>
      <c r="AR91" s="12">
        <f>$I$39*$AR$39</f>
        <v>0</v>
      </c>
      <c r="AS91" s="12">
        <f>$I$39*$AS$39</f>
        <v>0</v>
      </c>
      <c r="AT91" s="12">
        <f>$I$39*$AT$39</f>
        <v>0</v>
      </c>
      <c r="AU91" s="12">
        <f>$I$39*$AU$39</f>
        <v>0</v>
      </c>
      <c r="AV91" s="12">
        <f>$I$39*$AV$39</f>
        <v>0</v>
      </c>
      <c r="AW91" s="12">
        <f>$I$39*$AW$39</f>
        <v>0</v>
      </c>
      <c r="AX91" s="12">
        <f>$I$39*$AX$39</f>
        <v>0</v>
      </c>
      <c r="AY91" s="12">
        <f>$I$39*$AY$39</f>
        <v>0</v>
      </c>
      <c r="AZ91" s="12">
        <f>$I$39*$AZ$39</f>
        <v>0</v>
      </c>
      <c r="BA91" s="12">
        <f>$I$39*$BA$39</f>
        <v>0</v>
      </c>
      <c r="BB91" s="12">
        <f>$I$39*$BB$39</f>
        <v>0</v>
      </c>
      <c r="BC91" s="12">
        <f>$I$39*$BC$39</f>
        <v>0</v>
      </c>
      <c r="BD91" s="12">
        <f>$I$39*$BD$39</f>
        <v>0</v>
      </c>
    </row>
    <row r="92" spans="1:56" ht="11.25" customHeight="1" x14ac:dyDescent="0.25">
      <c r="A92" s="9" t="s">
        <v>39</v>
      </c>
      <c r="B92" s="9" t="s">
        <v>717</v>
      </c>
      <c r="C92" s="9" t="s">
        <v>718</v>
      </c>
      <c r="D92" s="9" t="s">
        <v>741</v>
      </c>
      <c r="E92" s="9" t="s">
        <v>742</v>
      </c>
      <c r="F92" s="9" t="s">
        <v>743</v>
      </c>
      <c r="G92" s="9" t="s">
        <v>746</v>
      </c>
      <c r="L92" s="12">
        <f>$I$40*$L$40</f>
        <v>0</v>
      </c>
      <c r="M92" s="12">
        <f>$I$40*$M$40</f>
        <v>0</v>
      </c>
      <c r="N92" s="12">
        <f ca="1">$I$40*$N$40</f>
        <v>0</v>
      </c>
      <c r="O92" s="12">
        <f>$I$40*$O$40</f>
        <v>0</v>
      </c>
      <c r="P92" s="12">
        <f>$I$40*$P$40</f>
        <v>0</v>
      </c>
      <c r="Q92" s="12">
        <f>$I$40*$Q$40</f>
        <v>0</v>
      </c>
      <c r="R92" s="12">
        <f>$I$40*$R$40</f>
        <v>0</v>
      </c>
      <c r="S92" s="12">
        <f>$I$40*$S$40</f>
        <v>0</v>
      </c>
      <c r="T92" s="12">
        <f>$I$40*$T$40</f>
        <v>0</v>
      </c>
      <c r="U92" s="12">
        <f>$I$40*$U$40</f>
        <v>0</v>
      </c>
      <c r="V92" s="12">
        <f>$I$40*$V$40</f>
        <v>0</v>
      </c>
      <c r="W92" s="12">
        <f>$I$40*$W$40</f>
        <v>0</v>
      </c>
      <c r="X92" s="12">
        <f>$I$40*$X$40</f>
        <v>0</v>
      </c>
      <c r="Y92" s="12">
        <f>$I$40*$Y$40</f>
        <v>0</v>
      </c>
      <c r="Z92" s="12">
        <f>$I$40*$Z$40</f>
        <v>0</v>
      </c>
      <c r="AA92" s="12">
        <f>$I$40*$AA$40</f>
        <v>0</v>
      </c>
      <c r="AB92" s="12">
        <f ca="1">$I$40*$AB$40</f>
        <v>0</v>
      </c>
      <c r="AC92" s="12">
        <f ca="1">$I$40*$AC$40</f>
        <v>0</v>
      </c>
      <c r="AD92" s="12">
        <f>$I$40*$AD$40</f>
        <v>0</v>
      </c>
      <c r="AE92" s="12">
        <f>$I$40*$AE$40</f>
        <v>0</v>
      </c>
      <c r="AF92" s="12">
        <f ca="1">$I$40*$AF$40</f>
        <v>0</v>
      </c>
      <c r="AG92" s="12">
        <f ca="1">$I$40*$AG$40</f>
        <v>0</v>
      </c>
      <c r="AI92" s="12">
        <f>$I$40*$AI$40</f>
        <v>0</v>
      </c>
      <c r="AJ92" s="12">
        <f>$I$40*$AJ$40</f>
        <v>0</v>
      </c>
      <c r="AK92" s="12">
        <f>$I$40*$AK$40</f>
        <v>0</v>
      </c>
      <c r="AL92" s="12">
        <f>$I$40*$AL$40</f>
        <v>0</v>
      </c>
      <c r="AM92" s="12">
        <f>$I$40*$AM$40</f>
        <v>0</v>
      </c>
      <c r="AN92" s="12">
        <f>$I$40*$AN$40</f>
        <v>0</v>
      </c>
      <c r="AO92" s="12">
        <f>$I$40*$AO$40</f>
        <v>0</v>
      </c>
      <c r="AP92" s="12">
        <f>$I$40*$AP$40</f>
        <v>0</v>
      </c>
      <c r="AQ92" s="12">
        <f>$I$40*$AQ$40</f>
        <v>0</v>
      </c>
      <c r="AR92" s="12">
        <f>$I$40*$AR$40</f>
        <v>0</v>
      </c>
      <c r="AS92" s="12">
        <f>$I$40*$AS$40</f>
        <v>0</v>
      </c>
      <c r="AT92" s="12">
        <f>$I$40*$AT$40</f>
        <v>0</v>
      </c>
      <c r="AU92" s="12">
        <f>$I$40*$AU$40</f>
        <v>0</v>
      </c>
      <c r="AV92" s="12">
        <f>$I$40*$AV$40</f>
        <v>0</v>
      </c>
      <c r="AW92" s="12">
        <f>$I$40*$AW$40</f>
        <v>0</v>
      </c>
      <c r="AX92" s="12">
        <f>$I$40*$AX$40</f>
        <v>0</v>
      </c>
      <c r="AY92" s="12">
        <f>$I$40*$AY$40</f>
        <v>0</v>
      </c>
      <c r="AZ92" s="12">
        <f>$I$40*$AZ$40</f>
        <v>0</v>
      </c>
      <c r="BA92" s="12">
        <f>$I$40*$BA$40</f>
        <v>0</v>
      </c>
      <c r="BB92" s="12">
        <f>$I$40*$BB$40</f>
        <v>0</v>
      </c>
      <c r="BC92" s="12">
        <f>$I$40*$BC$40</f>
        <v>0</v>
      </c>
      <c r="BD92" s="12">
        <f>$I$40*$BD$40</f>
        <v>0</v>
      </c>
    </row>
    <row r="93" spans="1:56" ht="11.25" customHeight="1" x14ac:dyDescent="0.25">
      <c r="A93" s="9" t="s">
        <v>39</v>
      </c>
      <c r="B93" s="9" t="s">
        <v>725</v>
      </c>
      <c r="C93" s="9" t="s">
        <v>726</v>
      </c>
      <c r="D93" s="9" t="s">
        <v>747</v>
      </c>
      <c r="E93" s="9" t="s">
        <v>748</v>
      </c>
      <c r="F93" s="9" t="s">
        <v>749</v>
      </c>
      <c r="G93" s="9" t="s">
        <v>750</v>
      </c>
      <c r="L93" s="12">
        <f>$I$41*$L$41</f>
        <v>0</v>
      </c>
      <c r="M93" s="12">
        <f>$I$41*$M$41</f>
        <v>0</v>
      </c>
      <c r="N93" s="12">
        <f ca="1">$I$41*$N$41</f>
        <v>0</v>
      </c>
      <c r="O93" s="12">
        <f>$I$41*$O$41</f>
        <v>0</v>
      </c>
      <c r="P93" s="12">
        <f>$I$41*$P$41</f>
        <v>0</v>
      </c>
      <c r="Q93" s="12">
        <f>$I$41*$Q$41</f>
        <v>0</v>
      </c>
      <c r="R93" s="12">
        <f>$I$41*$R$41</f>
        <v>0</v>
      </c>
      <c r="S93" s="12">
        <f>$I$41*$S$41</f>
        <v>0</v>
      </c>
      <c r="T93" s="12">
        <f>$I$41*$T$41</f>
        <v>0</v>
      </c>
      <c r="U93" s="12">
        <f>$I$41*$U$41</f>
        <v>0</v>
      </c>
      <c r="V93" s="12">
        <f>$I$41*$V$41</f>
        <v>0</v>
      </c>
      <c r="W93" s="12">
        <f>$I$41*$W$41</f>
        <v>0</v>
      </c>
      <c r="X93" s="12">
        <f>$I$41*$X$41</f>
        <v>0</v>
      </c>
      <c r="Y93" s="12">
        <f>$I$41*$Y$41</f>
        <v>0</v>
      </c>
      <c r="Z93" s="12">
        <f>$I$41*$Z$41</f>
        <v>0</v>
      </c>
      <c r="AA93" s="12">
        <f>$I$41*$AA$41</f>
        <v>0</v>
      </c>
      <c r="AB93" s="12">
        <f ca="1">$I$41*$AB$41</f>
        <v>0</v>
      </c>
      <c r="AC93" s="12">
        <f ca="1">$I$41*$AC$41</f>
        <v>0</v>
      </c>
      <c r="AD93" s="12">
        <f>$I$41*$AD$41</f>
        <v>0</v>
      </c>
      <c r="AE93" s="12">
        <f>$I$41*$AE$41</f>
        <v>0</v>
      </c>
      <c r="AF93" s="12">
        <f ca="1">$I$41*$AF$41</f>
        <v>0</v>
      </c>
      <c r="AG93" s="12">
        <f ca="1">$I$41*$AG$41</f>
        <v>0</v>
      </c>
      <c r="AI93" s="12">
        <f>$I$41*$AI$41</f>
        <v>0</v>
      </c>
      <c r="AJ93" s="12">
        <f>$I$41*$AJ$41</f>
        <v>0</v>
      </c>
      <c r="AK93" s="12">
        <f>$I$41*$AK$41</f>
        <v>0</v>
      </c>
      <c r="AL93" s="12">
        <f>$I$41*$AL$41</f>
        <v>0</v>
      </c>
      <c r="AM93" s="12">
        <f>$I$41*$AM$41</f>
        <v>0</v>
      </c>
      <c r="AN93" s="12">
        <f>$I$41*$AN$41</f>
        <v>0</v>
      </c>
      <c r="AO93" s="12">
        <f>$I$41*$AO$41</f>
        <v>0</v>
      </c>
      <c r="AP93" s="12">
        <f>$I$41*$AP$41</f>
        <v>0</v>
      </c>
      <c r="AQ93" s="12">
        <f>$I$41*$AQ$41</f>
        <v>0</v>
      </c>
      <c r="AR93" s="12">
        <f>$I$41*$AR$41</f>
        <v>0</v>
      </c>
      <c r="AS93" s="12">
        <f>$I$41*$AS$41</f>
        <v>0</v>
      </c>
      <c r="AT93" s="12">
        <f>$I$41*$AT$41</f>
        <v>0</v>
      </c>
      <c r="AU93" s="12">
        <f>$I$41*$AU$41</f>
        <v>0</v>
      </c>
      <c r="AV93" s="12">
        <f>$I$41*$AV$41</f>
        <v>0</v>
      </c>
      <c r="AW93" s="12">
        <f>$I$41*$AW$41</f>
        <v>0</v>
      </c>
      <c r="AX93" s="12">
        <f>$I$41*$AX$41</f>
        <v>0</v>
      </c>
      <c r="AY93" s="12">
        <f>$I$41*$AY$41</f>
        <v>0</v>
      </c>
      <c r="AZ93" s="12">
        <f>$I$41*$AZ$41</f>
        <v>0</v>
      </c>
      <c r="BA93" s="12">
        <f>$I$41*$BA$41</f>
        <v>0</v>
      </c>
      <c r="BB93" s="12">
        <f>$I$41*$BB$41</f>
        <v>0</v>
      </c>
      <c r="BC93" s="12">
        <f>$I$41*$BC$41</f>
        <v>0</v>
      </c>
      <c r="BD93" s="12">
        <f>$I$41*$BD$41</f>
        <v>0</v>
      </c>
    </row>
    <row r="94" spans="1:56" ht="11.25" customHeight="1" x14ac:dyDescent="0.25">
      <c r="A94" s="9" t="s">
        <v>39</v>
      </c>
      <c r="B94" s="9" t="s">
        <v>751</v>
      </c>
      <c r="C94" s="9" t="s">
        <v>752</v>
      </c>
      <c r="D94" s="9" t="s">
        <v>753</v>
      </c>
      <c r="E94" s="9" t="s">
        <v>754</v>
      </c>
      <c r="F94" s="9" t="s">
        <v>755</v>
      </c>
      <c r="G94" s="9" t="s">
        <v>756</v>
      </c>
      <c r="L94" s="12">
        <f>$I$42*$L$42</f>
        <v>0</v>
      </c>
      <c r="M94" s="12">
        <f>$I$42*$M$42</f>
        <v>0</v>
      </c>
      <c r="N94" s="12">
        <f ca="1">$I$42*$N$42</f>
        <v>0</v>
      </c>
      <c r="O94" s="12">
        <f>$I$42*$O$42</f>
        <v>0</v>
      </c>
      <c r="P94" s="12">
        <f>$I$42*$P$42</f>
        <v>0</v>
      </c>
      <c r="Q94" s="12">
        <f>$I$42*$Q$42</f>
        <v>0</v>
      </c>
      <c r="R94" s="12">
        <f>$I$42*$R$42</f>
        <v>0</v>
      </c>
      <c r="S94" s="12">
        <f>$I$42*$S$42</f>
        <v>0</v>
      </c>
      <c r="T94" s="12">
        <f>$I$42*$T$42</f>
        <v>0</v>
      </c>
      <c r="U94" s="12">
        <f>$I$42*$U$42</f>
        <v>0</v>
      </c>
      <c r="V94" s="12">
        <f>$I$42*$V$42</f>
        <v>0</v>
      </c>
      <c r="W94" s="12">
        <f>$I$42*$W$42</f>
        <v>0</v>
      </c>
      <c r="X94" s="12">
        <f>$I$42*$X$42</f>
        <v>0</v>
      </c>
      <c r="Y94" s="12">
        <f>$I$42*$Y$42</f>
        <v>0</v>
      </c>
      <c r="Z94" s="12">
        <f>$I$42*$Z$42</f>
        <v>0</v>
      </c>
      <c r="AA94" s="12">
        <f>$I$42*$AA$42</f>
        <v>0</v>
      </c>
      <c r="AB94" s="12">
        <f ca="1">$I$42*$AB$42</f>
        <v>0</v>
      </c>
      <c r="AC94" s="12">
        <f ca="1">$I$42*$AC$42</f>
        <v>0</v>
      </c>
      <c r="AD94" s="12">
        <f>$I$42*$AD$42</f>
        <v>0</v>
      </c>
      <c r="AE94" s="12">
        <f>$I$42*$AE$42</f>
        <v>0</v>
      </c>
      <c r="AF94" s="12">
        <f ca="1">$I$42*$AF$42</f>
        <v>0</v>
      </c>
      <c r="AG94" s="12">
        <f ca="1">$I$42*$AG$42</f>
        <v>0</v>
      </c>
      <c r="AI94" s="12">
        <f>$I$42*$AI$42</f>
        <v>0</v>
      </c>
      <c r="AJ94" s="12">
        <f>$I$42*$AJ$42</f>
        <v>0</v>
      </c>
      <c r="AK94" s="12">
        <f>$I$42*$AK$42</f>
        <v>0</v>
      </c>
      <c r="AL94" s="12">
        <f>$I$42*$AL$42</f>
        <v>0</v>
      </c>
      <c r="AM94" s="12">
        <f>$I$42*$AM$42</f>
        <v>0</v>
      </c>
      <c r="AN94" s="12">
        <f>$I$42*$AN$42</f>
        <v>0</v>
      </c>
      <c r="AO94" s="12">
        <f>$I$42*$AO$42</f>
        <v>0</v>
      </c>
      <c r="AP94" s="12">
        <f>$I$42*$AP$42</f>
        <v>0</v>
      </c>
      <c r="AQ94" s="12">
        <f>$I$42*$AQ$42</f>
        <v>0</v>
      </c>
      <c r="AR94" s="12">
        <f>$I$42*$AR$42</f>
        <v>0</v>
      </c>
      <c r="AS94" s="12">
        <f>$I$42*$AS$42</f>
        <v>0</v>
      </c>
      <c r="AT94" s="12">
        <f>$I$42*$AT$42</f>
        <v>0</v>
      </c>
      <c r="AU94" s="12">
        <f>$I$42*$AU$42</f>
        <v>0</v>
      </c>
      <c r="AV94" s="12">
        <f>$I$42*$AV$42</f>
        <v>0</v>
      </c>
      <c r="AW94" s="12">
        <f>$I$42*$AW$42</f>
        <v>0</v>
      </c>
      <c r="AX94" s="12">
        <f>$I$42*$AX$42</f>
        <v>0</v>
      </c>
      <c r="AY94" s="12">
        <f>$I$42*$AY$42</f>
        <v>0</v>
      </c>
      <c r="AZ94" s="12">
        <f>$I$42*$AZ$42</f>
        <v>0</v>
      </c>
      <c r="BA94" s="12">
        <f>$I$42*$BA$42</f>
        <v>0</v>
      </c>
      <c r="BB94" s="12">
        <f>$I$42*$BB$42</f>
        <v>0</v>
      </c>
      <c r="BC94" s="12">
        <f>$I$42*$BC$42</f>
        <v>0</v>
      </c>
      <c r="BD94" s="12">
        <f>$I$42*$BD$42</f>
        <v>0</v>
      </c>
    </row>
    <row r="95" spans="1:56" ht="11.25" customHeight="1" x14ac:dyDescent="0.25">
      <c r="A95" s="9" t="s">
        <v>39</v>
      </c>
      <c r="B95" s="9" t="s">
        <v>751</v>
      </c>
      <c r="C95" s="9" t="s">
        <v>752</v>
      </c>
      <c r="D95" s="9" t="s">
        <v>757</v>
      </c>
      <c r="E95" s="9" t="s">
        <v>758</v>
      </c>
      <c r="F95" s="9" t="s">
        <v>759</v>
      </c>
      <c r="G95" s="9" t="s">
        <v>760</v>
      </c>
      <c r="L95" s="12">
        <f>$I$43*$L$43</f>
        <v>0</v>
      </c>
      <c r="M95" s="12">
        <f>$I$43*$M$43</f>
        <v>0</v>
      </c>
      <c r="N95" s="12">
        <f ca="1">$I$43*$N$43</f>
        <v>0</v>
      </c>
      <c r="O95" s="12">
        <f>$I$43*$O$43</f>
        <v>0</v>
      </c>
      <c r="P95" s="12">
        <f>$I$43*$P$43</f>
        <v>0</v>
      </c>
      <c r="Q95" s="12">
        <f>$I$43*$Q$43</f>
        <v>0</v>
      </c>
      <c r="R95" s="12">
        <f>$I$43*$R$43</f>
        <v>0</v>
      </c>
      <c r="S95" s="12">
        <f>$I$43*$S$43</f>
        <v>0</v>
      </c>
      <c r="T95" s="12">
        <f>$I$43*$T$43</f>
        <v>0</v>
      </c>
      <c r="U95" s="12">
        <f>$I$43*$U$43</f>
        <v>0</v>
      </c>
      <c r="V95" s="12">
        <f>$I$43*$V$43</f>
        <v>0</v>
      </c>
      <c r="W95" s="12">
        <f>$I$43*$W$43</f>
        <v>0</v>
      </c>
      <c r="X95" s="12">
        <f>$I$43*$X$43</f>
        <v>0</v>
      </c>
      <c r="Y95" s="12">
        <f>$I$43*$Y$43</f>
        <v>0</v>
      </c>
      <c r="Z95" s="12">
        <f>$I$43*$Z$43</f>
        <v>0</v>
      </c>
      <c r="AA95" s="12">
        <f>$I$43*$AA$43</f>
        <v>0</v>
      </c>
      <c r="AB95" s="12">
        <f ca="1">$I$43*$AB$43</f>
        <v>0</v>
      </c>
      <c r="AC95" s="12">
        <f ca="1">$I$43*$AC$43</f>
        <v>0</v>
      </c>
      <c r="AD95" s="12">
        <f>$I$43*$AD$43</f>
        <v>0</v>
      </c>
      <c r="AE95" s="12">
        <f>$I$43*$AE$43</f>
        <v>0</v>
      </c>
      <c r="AF95" s="12">
        <f ca="1">$I$43*$AF$43</f>
        <v>0</v>
      </c>
      <c r="AG95" s="12">
        <f ca="1">$I$43*$AG$43</f>
        <v>0</v>
      </c>
      <c r="AI95" s="12">
        <f>$I$43*$AI$43</f>
        <v>0</v>
      </c>
      <c r="AJ95" s="12">
        <f>$I$43*$AJ$43</f>
        <v>0</v>
      </c>
      <c r="AK95" s="12">
        <f>$I$43*$AK$43</f>
        <v>0</v>
      </c>
      <c r="AL95" s="12">
        <f>$I$43*$AL$43</f>
        <v>0</v>
      </c>
      <c r="AM95" s="12">
        <f>$I$43*$AM$43</f>
        <v>0</v>
      </c>
      <c r="AN95" s="12">
        <f>$I$43*$AN$43</f>
        <v>0</v>
      </c>
      <c r="AO95" s="12">
        <f>$I$43*$AO$43</f>
        <v>0</v>
      </c>
      <c r="AP95" s="12">
        <f>$I$43*$AP$43</f>
        <v>0</v>
      </c>
      <c r="AQ95" s="12">
        <f>$I$43*$AQ$43</f>
        <v>0</v>
      </c>
      <c r="AR95" s="12">
        <f>$I$43*$AR$43</f>
        <v>0</v>
      </c>
      <c r="AS95" s="12">
        <f>$I$43*$AS$43</f>
        <v>0</v>
      </c>
      <c r="AT95" s="12">
        <f>$I$43*$AT$43</f>
        <v>0</v>
      </c>
      <c r="AU95" s="12">
        <f>$I$43*$AU$43</f>
        <v>0</v>
      </c>
      <c r="AV95" s="12">
        <f>$I$43*$AV$43</f>
        <v>0</v>
      </c>
      <c r="AW95" s="12">
        <f>$I$43*$AW$43</f>
        <v>0</v>
      </c>
      <c r="AX95" s="12">
        <f>$I$43*$AX$43</f>
        <v>0</v>
      </c>
      <c r="AY95" s="12">
        <f>$I$43*$AY$43</f>
        <v>0</v>
      </c>
      <c r="AZ95" s="12">
        <f>$I$43*$AZ$43</f>
        <v>0</v>
      </c>
      <c r="BA95" s="12">
        <f>$I$43*$BA$43</f>
        <v>0</v>
      </c>
      <c r="BB95" s="12">
        <f>$I$43*$BB$43</f>
        <v>0</v>
      </c>
      <c r="BC95" s="12">
        <f>$I$43*$BC$43</f>
        <v>0</v>
      </c>
      <c r="BD95" s="12">
        <f>$I$43*$BD$43</f>
        <v>0</v>
      </c>
    </row>
    <row r="96" spans="1:56" ht="11.25" customHeight="1" x14ac:dyDescent="0.25">
      <c r="A96" s="9" t="s">
        <v>39</v>
      </c>
      <c r="B96" s="9" t="s">
        <v>751</v>
      </c>
      <c r="C96" s="9" t="s">
        <v>752</v>
      </c>
      <c r="D96" s="9" t="s">
        <v>761</v>
      </c>
      <c r="E96" s="9" t="s">
        <v>762</v>
      </c>
      <c r="F96" s="9" t="s">
        <v>763</v>
      </c>
      <c r="G96" s="9" t="s">
        <v>764</v>
      </c>
      <c r="L96" s="12">
        <f>$I$44*$L$44</f>
        <v>0</v>
      </c>
      <c r="M96" s="12">
        <f>$I$44*$M$44</f>
        <v>0</v>
      </c>
      <c r="N96" s="12">
        <f ca="1">$I$44*$N$44</f>
        <v>0</v>
      </c>
      <c r="O96" s="12">
        <f>$I$44*$O$44</f>
        <v>0</v>
      </c>
      <c r="P96" s="12">
        <f>$I$44*$P$44</f>
        <v>0</v>
      </c>
      <c r="Q96" s="12">
        <f>$I$44*$Q$44</f>
        <v>0</v>
      </c>
      <c r="R96" s="12">
        <f>$I$44*$R$44</f>
        <v>0</v>
      </c>
      <c r="S96" s="12">
        <f>$I$44*$S$44</f>
        <v>0</v>
      </c>
      <c r="T96" s="12">
        <f>$I$44*$T$44</f>
        <v>0</v>
      </c>
      <c r="U96" s="12">
        <f>$I$44*$U$44</f>
        <v>0</v>
      </c>
      <c r="V96" s="12">
        <f>$I$44*$V$44</f>
        <v>0</v>
      </c>
      <c r="W96" s="12">
        <f>$I$44*$W$44</f>
        <v>0</v>
      </c>
      <c r="X96" s="12">
        <f>$I$44*$X$44</f>
        <v>0</v>
      </c>
      <c r="Y96" s="12">
        <f>$I$44*$Y$44</f>
        <v>0</v>
      </c>
      <c r="Z96" s="12">
        <f>$I$44*$Z$44</f>
        <v>0</v>
      </c>
      <c r="AA96" s="12">
        <f>$I$44*$AA$44</f>
        <v>0</v>
      </c>
      <c r="AB96" s="12">
        <f ca="1">$I$44*$AB$44</f>
        <v>0</v>
      </c>
      <c r="AC96" s="12">
        <f ca="1">$I$44*$AC$44</f>
        <v>0</v>
      </c>
      <c r="AD96" s="12">
        <f>$I$44*$AD$44</f>
        <v>0</v>
      </c>
      <c r="AE96" s="12">
        <f>$I$44*$AE$44</f>
        <v>0</v>
      </c>
      <c r="AF96" s="12">
        <f ca="1">$I$44*$AF$44</f>
        <v>0</v>
      </c>
      <c r="AG96" s="12">
        <f ca="1">$I$44*$AG$44</f>
        <v>0</v>
      </c>
      <c r="AI96" s="12">
        <f>$I$44*$AI$44</f>
        <v>0</v>
      </c>
      <c r="AJ96" s="12">
        <f>$I$44*$AJ$44</f>
        <v>0</v>
      </c>
      <c r="AK96" s="12">
        <f>$I$44*$AK$44</f>
        <v>0</v>
      </c>
      <c r="AL96" s="12">
        <f>$I$44*$AL$44</f>
        <v>0</v>
      </c>
      <c r="AM96" s="12">
        <f>$I$44*$AM$44</f>
        <v>0</v>
      </c>
      <c r="AN96" s="12">
        <f>$I$44*$AN$44</f>
        <v>0</v>
      </c>
      <c r="AO96" s="12">
        <f>$I$44*$AO$44</f>
        <v>0</v>
      </c>
      <c r="AP96" s="12">
        <f>$I$44*$AP$44</f>
        <v>0</v>
      </c>
      <c r="AQ96" s="12">
        <f>$I$44*$AQ$44</f>
        <v>0</v>
      </c>
      <c r="AR96" s="12">
        <f>$I$44*$AR$44</f>
        <v>0</v>
      </c>
      <c r="AS96" s="12">
        <f>$I$44*$AS$44</f>
        <v>0</v>
      </c>
      <c r="AT96" s="12">
        <f>$I$44*$AT$44</f>
        <v>0</v>
      </c>
      <c r="AU96" s="12">
        <f>$I$44*$AU$44</f>
        <v>0</v>
      </c>
      <c r="AV96" s="12">
        <f>$I$44*$AV$44</f>
        <v>0</v>
      </c>
      <c r="AW96" s="12">
        <f>$I$44*$AW$44</f>
        <v>0</v>
      </c>
      <c r="AX96" s="12">
        <f>$I$44*$AX$44</f>
        <v>0</v>
      </c>
      <c r="AY96" s="12">
        <f>$I$44*$AY$44</f>
        <v>0</v>
      </c>
      <c r="AZ96" s="12">
        <f>$I$44*$AZ$44</f>
        <v>0</v>
      </c>
      <c r="BA96" s="12">
        <f>$I$44*$BA$44</f>
        <v>0</v>
      </c>
      <c r="BB96" s="12">
        <f>$I$44*$BB$44</f>
        <v>0</v>
      </c>
      <c r="BC96" s="12">
        <f>$I$44*$BC$44</f>
        <v>0</v>
      </c>
      <c r="BD96" s="12">
        <f>$I$44*$BD$44</f>
        <v>0</v>
      </c>
    </row>
    <row r="97" spans="1:56" ht="11.25" customHeight="1" x14ac:dyDescent="0.25">
      <c r="A97" s="9" t="s">
        <v>31</v>
      </c>
      <c r="B97" s="9" t="s">
        <v>765</v>
      </c>
      <c r="C97" s="9" t="s">
        <v>766</v>
      </c>
      <c r="D97" s="9" t="s">
        <v>767</v>
      </c>
      <c r="E97" s="9" t="s">
        <v>768</v>
      </c>
      <c r="F97" s="9" t="s">
        <v>769</v>
      </c>
      <c r="G97" s="9" t="s">
        <v>770</v>
      </c>
      <c r="L97" s="12">
        <f>$I$45*$L$45</f>
        <v>0</v>
      </c>
      <c r="M97" s="12">
        <f>$I$45*$M$45</f>
        <v>0</v>
      </c>
      <c r="N97" s="12">
        <f ca="1">$I$45*$N$45</f>
        <v>0</v>
      </c>
      <c r="O97" s="12">
        <f>$I$45*$O$45</f>
        <v>0</v>
      </c>
      <c r="P97" s="12">
        <f>$I$45*$P$45</f>
        <v>0</v>
      </c>
      <c r="Q97" s="12">
        <f>$I$45*$Q$45</f>
        <v>0</v>
      </c>
      <c r="R97" s="12">
        <f>$I$45*$R$45</f>
        <v>0</v>
      </c>
      <c r="S97" s="12">
        <f>$I$45*$S$45</f>
        <v>0</v>
      </c>
      <c r="T97" s="12">
        <f>$I$45*$T$45</f>
        <v>0</v>
      </c>
      <c r="U97" s="12">
        <f>$I$45*$U$45</f>
        <v>0</v>
      </c>
      <c r="V97" s="12">
        <f>$I$45*$V$45</f>
        <v>0</v>
      </c>
      <c r="W97" s="12">
        <f>$I$45*$W$45</f>
        <v>0</v>
      </c>
      <c r="X97" s="12">
        <f>$I$45*$X$45</f>
        <v>0</v>
      </c>
      <c r="Y97" s="12">
        <f>$I$45*$Y$45</f>
        <v>0</v>
      </c>
      <c r="Z97" s="12">
        <f>$I$45*$Z$45</f>
        <v>0</v>
      </c>
      <c r="AA97" s="12">
        <f>$I$45*$AA$45</f>
        <v>0</v>
      </c>
      <c r="AB97" s="12">
        <f ca="1">$I$45*$AB$45</f>
        <v>0</v>
      </c>
      <c r="AC97" s="12">
        <f ca="1">$I$45*$AC$45</f>
        <v>0</v>
      </c>
      <c r="AD97" s="12">
        <f>$I$45*$AD$45</f>
        <v>0</v>
      </c>
      <c r="AE97" s="12">
        <f>$I$45*$AE$45</f>
        <v>0</v>
      </c>
      <c r="AF97" s="12">
        <f ca="1">$I$45*$AF$45</f>
        <v>0</v>
      </c>
      <c r="AG97" s="12">
        <f ca="1">$I$45*$AG$45</f>
        <v>0</v>
      </c>
      <c r="AI97" s="12">
        <f>$I$45*$AI$45</f>
        <v>0</v>
      </c>
      <c r="AJ97" s="12">
        <f>$I$45*$AJ$45</f>
        <v>0</v>
      </c>
      <c r="AK97" s="12">
        <f>$I$45*$AK$45</f>
        <v>0</v>
      </c>
      <c r="AL97" s="12">
        <f>$I$45*$AL$45</f>
        <v>0</v>
      </c>
      <c r="AM97" s="12">
        <f>$I$45*$AM$45</f>
        <v>0</v>
      </c>
      <c r="AN97" s="12">
        <f>$I$45*$AN$45</f>
        <v>0</v>
      </c>
      <c r="AO97" s="12">
        <f>$I$45*$AO$45</f>
        <v>0</v>
      </c>
      <c r="AP97" s="12">
        <f>$I$45*$AP$45</f>
        <v>0</v>
      </c>
      <c r="AQ97" s="12">
        <f>$I$45*$AQ$45</f>
        <v>0</v>
      </c>
      <c r="AR97" s="12">
        <f>$I$45*$AR$45</f>
        <v>0</v>
      </c>
      <c r="AS97" s="12">
        <f>$I$45*$AS$45</f>
        <v>0</v>
      </c>
      <c r="AT97" s="12">
        <f>$I$45*$AT$45</f>
        <v>0</v>
      </c>
      <c r="AU97" s="12">
        <f>$I$45*$AU$45</f>
        <v>0</v>
      </c>
      <c r="AV97" s="12">
        <f>$I$45*$AV$45</f>
        <v>0</v>
      </c>
      <c r="AW97" s="12">
        <f>$I$45*$AW$45</f>
        <v>0</v>
      </c>
      <c r="AX97" s="12">
        <f>$I$45*$AX$45</f>
        <v>0</v>
      </c>
      <c r="AY97" s="12">
        <f>$I$45*$AY$45</f>
        <v>0</v>
      </c>
      <c r="AZ97" s="12">
        <f>$I$45*$AZ$45</f>
        <v>0</v>
      </c>
      <c r="BA97" s="12">
        <f>$I$45*$BA$45</f>
        <v>0</v>
      </c>
      <c r="BB97" s="12">
        <f>$I$45*$BB$45</f>
        <v>0</v>
      </c>
      <c r="BC97" s="12">
        <f>$I$45*$BC$45</f>
        <v>0</v>
      </c>
      <c r="BD97" s="12">
        <f>$I$45*$BD$45</f>
        <v>0</v>
      </c>
    </row>
    <row r="98" spans="1:56" ht="11.25" customHeight="1" x14ac:dyDescent="0.25">
      <c r="A98" s="9" t="s">
        <v>31</v>
      </c>
      <c r="B98" s="9" t="s">
        <v>765</v>
      </c>
      <c r="C98" s="9" t="s">
        <v>766</v>
      </c>
      <c r="D98" s="9" t="s">
        <v>767</v>
      </c>
      <c r="E98" s="9" t="s">
        <v>768</v>
      </c>
      <c r="F98" s="9" t="s">
        <v>769</v>
      </c>
      <c r="G98" s="9" t="s">
        <v>771</v>
      </c>
      <c r="L98" s="12">
        <f>$I$46*$L$46</f>
        <v>0</v>
      </c>
      <c r="M98" s="12">
        <f>$I$46*$M$46</f>
        <v>0</v>
      </c>
      <c r="N98" s="12">
        <f ca="1">$I$46*$N$46</f>
        <v>0</v>
      </c>
      <c r="O98" s="12">
        <f>$I$46*$O$46</f>
        <v>0</v>
      </c>
      <c r="P98" s="12">
        <f>$I$46*$P$46</f>
        <v>0</v>
      </c>
      <c r="Q98" s="12">
        <f>$I$46*$Q$46</f>
        <v>0</v>
      </c>
      <c r="R98" s="12">
        <f>$I$46*$R$46</f>
        <v>0</v>
      </c>
      <c r="S98" s="12">
        <f>$I$46*$S$46</f>
        <v>0</v>
      </c>
      <c r="T98" s="12">
        <f>$I$46*$T$46</f>
        <v>0</v>
      </c>
      <c r="U98" s="12">
        <f>$I$46*$U$46</f>
        <v>0</v>
      </c>
      <c r="V98" s="12">
        <f>$I$46*$V$46</f>
        <v>0</v>
      </c>
      <c r="W98" s="12">
        <f>$I$46*$W$46</f>
        <v>0</v>
      </c>
      <c r="X98" s="12">
        <f>$I$46*$X$46</f>
        <v>0</v>
      </c>
      <c r="Y98" s="12">
        <f>$I$46*$Y$46</f>
        <v>0</v>
      </c>
      <c r="Z98" s="12">
        <f>$I$46*$Z$46</f>
        <v>0</v>
      </c>
      <c r="AA98" s="12">
        <f>$I$46*$AA$46</f>
        <v>0</v>
      </c>
      <c r="AB98" s="12">
        <f ca="1">$I$46*$AB$46</f>
        <v>0</v>
      </c>
      <c r="AC98" s="12">
        <f ca="1">$I$46*$AC$46</f>
        <v>0</v>
      </c>
      <c r="AD98" s="12">
        <f>$I$46*$AD$46</f>
        <v>0</v>
      </c>
      <c r="AE98" s="12">
        <f>$I$46*$AE$46</f>
        <v>0</v>
      </c>
      <c r="AF98" s="12">
        <f ca="1">$I$46*$AF$46</f>
        <v>0</v>
      </c>
      <c r="AG98" s="12">
        <f ca="1">$I$46*$AG$46</f>
        <v>0</v>
      </c>
      <c r="AI98" s="12">
        <f>$I$46*$AI$46</f>
        <v>0</v>
      </c>
      <c r="AJ98" s="12">
        <f>$I$46*$AJ$46</f>
        <v>0</v>
      </c>
      <c r="AK98" s="12">
        <f>$I$46*$AK$46</f>
        <v>0</v>
      </c>
      <c r="AL98" s="12">
        <f>$I$46*$AL$46</f>
        <v>0</v>
      </c>
      <c r="AM98" s="12">
        <f>$I$46*$AM$46</f>
        <v>0</v>
      </c>
      <c r="AN98" s="12">
        <f>$I$46*$AN$46</f>
        <v>0</v>
      </c>
      <c r="AO98" s="12">
        <f>$I$46*$AO$46</f>
        <v>0</v>
      </c>
      <c r="AP98" s="12">
        <f>$I$46*$AP$46</f>
        <v>0</v>
      </c>
      <c r="AQ98" s="12">
        <f>$I$46*$AQ$46</f>
        <v>0</v>
      </c>
      <c r="AR98" s="12">
        <f>$I$46*$AR$46</f>
        <v>0</v>
      </c>
      <c r="AS98" s="12">
        <f>$I$46*$AS$46</f>
        <v>0</v>
      </c>
      <c r="AT98" s="12">
        <f>$I$46*$AT$46</f>
        <v>0</v>
      </c>
      <c r="AU98" s="12">
        <f>$I$46*$AU$46</f>
        <v>0</v>
      </c>
      <c r="AV98" s="12">
        <f>$I$46*$AV$46</f>
        <v>0</v>
      </c>
      <c r="AW98" s="12">
        <f>$I$46*$AW$46</f>
        <v>0</v>
      </c>
      <c r="AX98" s="12">
        <f>$I$46*$AX$46</f>
        <v>0</v>
      </c>
      <c r="AY98" s="12">
        <f>$I$46*$AY$46</f>
        <v>0</v>
      </c>
      <c r="AZ98" s="12">
        <f>$I$46*$AZ$46</f>
        <v>0</v>
      </c>
      <c r="BA98" s="12">
        <f>$I$46*$BA$46</f>
        <v>0</v>
      </c>
      <c r="BB98" s="12">
        <f>$I$46*$BB$46</f>
        <v>0</v>
      </c>
      <c r="BC98" s="12">
        <f>$I$46*$BC$46</f>
        <v>0</v>
      </c>
      <c r="BD98" s="12">
        <f>$I$46*$BD$46</f>
        <v>0</v>
      </c>
    </row>
    <row r="99" spans="1:56" ht="11.25" customHeight="1" x14ac:dyDescent="0.25">
      <c r="A99" s="9" t="s">
        <v>31</v>
      </c>
      <c r="B99" s="9" t="s">
        <v>765</v>
      </c>
      <c r="C99" s="9" t="s">
        <v>766</v>
      </c>
      <c r="D99" s="9" t="s">
        <v>767</v>
      </c>
      <c r="E99" s="9" t="s">
        <v>768</v>
      </c>
      <c r="F99" s="9" t="s">
        <v>769</v>
      </c>
      <c r="G99" s="9" t="s">
        <v>772</v>
      </c>
      <c r="L99" s="12">
        <f>$I$47*$L$47</f>
        <v>0</v>
      </c>
      <c r="M99" s="12">
        <f>$I$47*$M$47</f>
        <v>0</v>
      </c>
      <c r="N99" s="12">
        <f ca="1">$I$47*$N$47</f>
        <v>0</v>
      </c>
      <c r="O99" s="12">
        <f>$I$47*$O$47</f>
        <v>0</v>
      </c>
      <c r="P99" s="12">
        <f>$I$47*$P$47</f>
        <v>0</v>
      </c>
      <c r="Q99" s="12">
        <f>$I$47*$Q$47</f>
        <v>0</v>
      </c>
      <c r="R99" s="12">
        <f>$I$47*$R$47</f>
        <v>0</v>
      </c>
      <c r="S99" s="12">
        <f>$I$47*$S$47</f>
        <v>0</v>
      </c>
      <c r="T99" s="12">
        <f>$I$47*$T$47</f>
        <v>0</v>
      </c>
      <c r="U99" s="12">
        <f>$I$47*$U$47</f>
        <v>0</v>
      </c>
      <c r="V99" s="12">
        <f>$I$47*$V$47</f>
        <v>0</v>
      </c>
      <c r="W99" s="12">
        <f>$I$47*$W$47</f>
        <v>0</v>
      </c>
      <c r="X99" s="12">
        <f>$I$47*$X$47</f>
        <v>0</v>
      </c>
      <c r="Y99" s="12">
        <f>$I$47*$Y$47</f>
        <v>0</v>
      </c>
      <c r="Z99" s="12">
        <f>$I$47*$Z$47</f>
        <v>0</v>
      </c>
      <c r="AA99" s="12">
        <f>$I$47*$AA$47</f>
        <v>0</v>
      </c>
      <c r="AB99" s="12">
        <f ca="1">$I$47*$AB$47</f>
        <v>0</v>
      </c>
      <c r="AC99" s="12">
        <f ca="1">$I$47*$AC$47</f>
        <v>0</v>
      </c>
      <c r="AD99" s="12">
        <f>$I$47*$AD$47</f>
        <v>0</v>
      </c>
      <c r="AE99" s="12">
        <f>$I$47*$AE$47</f>
        <v>0</v>
      </c>
      <c r="AF99" s="12">
        <f ca="1">$I$47*$AF$47</f>
        <v>0</v>
      </c>
      <c r="AG99" s="12">
        <f ca="1">$I$47*$AG$47</f>
        <v>0</v>
      </c>
      <c r="AI99" s="12">
        <f>$I$47*$AI$47</f>
        <v>0</v>
      </c>
      <c r="AJ99" s="12">
        <f>$I$47*$AJ$47</f>
        <v>0</v>
      </c>
      <c r="AK99" s="12">
        <f>$I$47*$AK$47</f>
        <v>0</v>
      </c>
      <c r="AL99" s="12">
        <f>$I$47*$AL$47</f>
        <v>0</v>
      </c>
      <c r="AM99" s="12">
        <f>$I$47*$AM$47</f>
        <v>0</v>
      </c>
      <c r="AN99" s="12">
        <f>$I$47*$AN$47</f>
        <v>0</v>
      </c>
      <c r="AO99" s="12">
        <f>$I$47*$AO$47</f>
        <v>0</v>
      </c>
      <c r="AP99" s="12">
        <f>$I$47*$AP$47</f>
        <v>0</v>
      </c>
      <c r="AQ99" s="12">
        <f>$I$47*$AQ$47</f>
        <v>0</v>
      </c>
      <c r="AR99" s="12">
        <f>$I$47*$AR$47</f>
        <v>0</v>
      </c>
      <c r="AS99" s="12">
        <f>$I$47*$AS$47</f>
        <v>0</v>
      </c>
      <c r="AT99" s="12">
        <f>$I$47*$AT$47</f>
        <v>0</v>
      </c>
      <c r="AU99" s="12">
        <f>$I$47*$AU$47</f>
        <v>0</v>
      </c>
      <c r="AV99" s="12">
        <f>$I$47*$AV$47</f>
        <v>0</v>
      </c>
      <c r="AW99" s="12">
        <f>$I$47*$AW$47</f>
        <v>0</v>
      </c>
      <c r="AX99" s="12">
        <f>$I$47*$AX$47</f>
        <v>0</v>
      </c>
      <c r="AY99" s="12">
        <f>$I$47*$AY$47</f>
        <v>0</v>
      </c>
      <c r="AZ99" s="12">
        <f>$I$47*$AZ$47</f>
        <v>0</v>
      </c>
      <c r="BA99" s="12">
        <f>$I$47*$BA$47</f>
        <v>0</v>
      </c>
      <c r="BB99" s="12">
        <f>$I$47*$BB$47</f>
        <v>0</v>
      </c>
      <c r="BC99" s="12">
        <f>$I$47*$BC$47</f>
        <v>0</v>
      </c>
      <c r="BD99" s="12">
        <f>$I$47*$BD$47</f>
        <v>0</v>
      </c>
    </row>
    <row r="100" spans="1:56" ht="11.25" customHeight="1" x14ac:dyDescent="0.25">
      <c r="A100" s="9" t="s">
        <v>31</v>
      </c>
      <c r="B100" s="9" t="s">
        <v>773</v>
      </c>
      <c r="C100" s="9" t="s">
        <v>774</v>
      </c>
      <c r="D100" s="9" t="s">
        <v>775</v>
      </c>
      <c r="E100" s="9" t="s">
        <v>776</v>
      </c>
      <c r="F100" s="9" t="s">
        <v>777</v>
      </c>
      <c r="G100" s="9" t="s">
        <v>778</v>
      </c>
      <c r="L100" s="12">
        <f>$I$48*$L$48</f>
        <v>0</v>
      </c>
      <c r="M100" s="12">
        <f>$I$48*$M$48</f>
        <v>815.21687414048586</v>
      </c>
      <c r="N100" s="12">
        <f ca="1">$I$48*$N$48</f>
        <v>0</v>
      </c>
      <c r="O100" s="12">
        <f>$I$48*$O$48</f>
        <v>0</v>
      </c>
      <c r="P100" s="12">
        <f>$I$48*$P$48</f>
        <v>0</v>
      </c>
      <c r="Q100" s="12">
        <f>$I$48*$Q$48</f>
        <v>122204.07259988735</v>
      </c>
      <c r="R100" s="12">
        <f>$I$48*$R$48</f>
        <v>19319.203099974093</v>
      </c>
      <c r="S100" s="12">
        <f>$I$48*$S$48</f>
        <v>0</v>
      </c>
      <c r="T100" s="12">
        <f>$I$48*$T$48</f>
        <v>0</v>
      </c>
      <c r="U100" s="12">
        <f>$I$48*$U$48</f>
        <v>0</v>
      </c>
      <c r="V100" s="12">
        <f>$I$48*$V$48</f>
        <v>0</v>
      </c>
      <c r="W100" s="12">
        <f>$I$48*$W$48</f>
        <v>0</v>
      </c>
      <c r="X100" s="12">
        <f>$I$48*$X$48</f>
        <v>52184.960791871876</v>
      </c>
      <c r="Y100" s="12">
        <f>$I$48*$Y$48</f>
        <v>0</v>
      </c>
      <c r="Z100" s="12">
        <f>$I$48*$Z$48</f>
        <v>0</v>
      </c>
      <c r="AA100" s="12">
        <f>$I$48*$AA$48</f>
        <v>181467.26441481264</v>
      </c>
      <c r="AB100" s="12">
        <f ca="1">$I$48*$AB$48</f>
        <v>-9841.1465457845698</v>
      </c>
      <c r="AC100" s="12">
        <f ca="1">$I$48*$AC$48</f>
        <v>0</v>
      </c>
      <c r="AD100" s="12">
        <f>$I$48*$AD$48</f>
        <v>18745.746435959143</v>
      </c>
      <c r="AE100" s="12">
        <f>$I$48*$AE$48</f>
        <v>0</v>
      </c>
      <c r="AF100" s="12">
        <f ca="1">$I$48*$AF$48</f>
        <v>0</v>
      </c>
      <c r="AG100" s="12">
        <f ca="1">$I$48*$AG$48</f>
        <v>0</v>
      </c>
      <c r="AI100" s="12">
        <f>$I$48*$AI$48</f>
        <v>0</v>
      </c>
      <c r="AJ100" s="12">
        <f>$I$48*$AJ$48</f>
        <v>650.7465716834264</v>
      </c>
      <c r="AK100" s="12">
        <f>$I$48*$AK$48</f>
        <v>0</v>
      </c>
      <c r="AL100" s="12">
        <f>$I$48*$AL$48</f>
        <v>0</v>
      </c>
      <c r="AM100" s="12">
        <f>$I$48*$AM$48</f>
        <v>0</v>
      </c>
      <c r="AN100" s="12">
        <f>$I$48*$AN$48</f>
        <v>76634.931183949098</v>
      </c>
      <c r="AO100" s="12">
        <f>$I$48*$AO$48</f>
        <v>12024.48164195925</v>
      </c>
      <c r="AP100" s="12">
        <f>$I$48*$AP$48</f>
        <v>0</v>
      </c>
      <c r="AQ100" s="12">
        <f>$I$48*$AQ$48</f>
        <v>0</v>
      </c>
      <c r="AR100" s="12">
        <f>$I$48*$AR$48</f>
        <v>0</v>
      </c>
      <c r="AS100" s="12">
        <f>$I$48*$AS$48</f>
        <v>0</v>
      </c>
      <c r="AT100" s="12">
        <f>$I$48*$AT$48</f>
        <v>0</v>
      </c>
      <c r="AU100" s="12">
        <f>$I$48*$AU$48</f>
        <v>61287.616893836712</v>
      </c>
      <c r="AV100" s="12">
        <f>$I$48*$AV$48</f>
        <v>0</v>
      </c>
      <c r="AW100" s="12">
        <f>$I$48*$AW$48</f>
        <v>0</v>
      </c>
      <c r="AX100" s="12">
        <f>$I$48*$AX$48</f>
        <v>153341.00643774855</v>
      </c>
      <c r="AY100" s="12">
        <f>$I$48*$AY$48</f>
        <v>0</v>
      </c>
      <c r="AZ100" s="12">
        <f>$I$48*$AZ$48</f>
        <v>0</v>
      </c>
      <c r="BA100" s="12">
        <f>$I$48*$BA$48</f>
        <v>2261.9074007059644</v>
      </c>
      <c r="BB100" s="12">
        <f>$I$48*$BB$48</f>
        <v>0</v>
      </c>
      <c r="BC100" s="12">
        <f>$I$48*$BC$48</f>
        <v>0</v>
      </c>
      <c r="BD100" s="12">
        <f>$I$48*$BD$48</f>
        <v>0</v>
      </c>
    </row>
    <row r="101" spans="1:56" ht="11.25" customHeight="1" x14ac:dyDescent="0.25">
      <c r="A101" s="9" t="s">
        <v>31</v>
      </c>
      <c r="B101" s="9" t="s">
        <v>779</v>
      </c>
      <c r="C101" s="9" t="s">
        <v>780</v>
      </c>
      <c r="D101" s="9" t="s">
        <v>781</v>
      </c>
      <c r="E101" s="9" t="s">
        <v>782</v>
      </c>
      <c r="F101" s="9" t="s">
        <v>783</v>
      </c>
      <c r="G101" s="9" t="s">
        <v>784</v>
      </c>
      <c r="L101" s="12">
        <f>$I$49*$L$49</f>
        <v>0</v>
      </c>
      <c r="M101" s="12">
        <f>$I$49*$M$49</f>
        <v>0</v>
      </c>
      <c r="N101" s="12">
        <f ca="1">$I$49*$N$49</f>
        <v>0</v>
      </c>
      <c r="O101" s="12">
        <f>$I$49*$O$49</f>
        <v>0</v>
      </c>
      <c r="P101" s="12">
        <f>$I$49*$P$49</f>
        <v>0</v>
      </c>
      <c r="Q101" s="12">
        <f>$I$49*$Q$49</f>
        <v>0</v>
      </c>
      <c r="R101" s="12">
        <f>$I$49*$R$49</f>
        <v>0</v>
      </c>
      <c r="S101" s="12">
        <f>$I$49*$S$49</f>
        <v>0</v>
      </c>
      <c r="T101" s="12">
        <f>$I$49*$T$49</f>
        <v>0</v>
      </c>
      <c r="U101" s="12">
        <f>$I$49*$U$49</f>
        <v>0</v>
      </c>
      <c r="V101" s="12">
        <f>$I$49*$V$49</f>
        <v>0</v>
      </c>
      <c r="W101" s="12">
        <f>$I$49*$W$49</f>
        <v>0</v>
      </c>
      <c r="X101" s="12">
        <f>$I$49*$X$49</f>
        <v>0</v>
      </c>
      <c r="Y101" s="12">
        <f>$I$49*$Y$49</f>
        <v>0</v>
      </c>
      <c r="Z101" s="12">
        <f>$I$49*$Z$49</f>
        <v>0</v>
      </c>
      <c r="AA101" s="12">
        <f>$I$49*$AA$49</f>
        <v>0</v>
      </c>
      <c r="AB101" s="12">
        <f ca="1">$I$49*$AB$49</f>
        <v>0</v>
      </c>
      <c r="AC101" s="12">
        <f ca="1">$I$49*$AC$49</f>
        <v>0</v>
      </c>
      <c r="AD101" s="12">
        <f>$I$49*$AD$49</f>
        <v>0</v>
      </c>
      <c r="AE101" s="12">
        <f>$I$49*$AE$49</f>
        <v>0</v>
      </c>
      <c r="AF101" s="12">
        <f ca="1">$I$49*$AF$49</f>
        <v>0</v>
      </c>
      <c r="AG101" s="12">
        <f ca="1">$I$49*$AG$49</f>
        <v>0</v>
      </c>
      <c r="AI101" s="12">
        <f>$I$49*$AI$49</f>
        <v>0</v>
      </c>
      <c r="AJ101" s="12">
        <f>$I$49*$AJ$49</f>
        <v>0</v>
      </c>
      <c r="AK101" s="12">
        <f>$I$49*$AK$49</f>
        <v>0</v>
      </c>
      <c r="AL101" s="12">
        <f>$I$49*$AL$49</f>
        <v>0</v>
      </c>
      <c r="AM101" s="12">
        <f>$I$49*$AM$49</f>
        <v>0</v>
      </c>
      <c r="AN101" s="12">
        <f>$I$49*$AN$49</f>
        <v>0</v>
      </c>
      <c r="AO101" s="12">
        <f>$I$49*$AO$49</f>
        <v>0</v>
      </c>
      <c r="AP101" s="12">
        <f>$I$49*$AP$49</f>
        <v>0</v>
      </c>
      <c r="AQ101" s="12">
        <f>$I$49*$AQ$49</f>
        <v>0</v>
      </c>
      <c r="AR101" s="12">
        <f>$I$49*$AR$49</f>
        <v>0</v>
      </c>
      <c r="AS101" s="12">
        <f>$I$49*$AS$49</f>
        <v>0</v>
      </c>
      <c r="AT101" s="12">
        <f>$I$49*$AT$49</f>
        <v>0</v>
      </c>
      <c r="AU101" s="12">
        <f>$I$49*$AU$49</f>
        <v>0</v>
      </c>
      <c r="AV101" s="12">
        <f>$I$49*$AV$49</f>
        <v>0</v>
      </c>
      <c r="AW101" s="12">
        <f>$I$49*$AW$49</f>
        <v>0</v>
      </c>
      <c r="AX101" s="12">
        <f>$I$49*$AX$49</f>
        <v>0</v>
      </c>
      <c r="AY101" s="12">
        <f>$I$49*$AY$49</f>
        <v>0</v>
      </c>
      <c r="AZ101" s="12">
        <f>$I$49*$AZ$49</f>
        <v>0</v>
      </c>
      <c r="BA101" s="12">
        <f>$I$49*$BA$49</f>
        <v>0</v>
      </c>
      <c r="BB101" s="12">
        <f>$I$49*$BB$49</f>
        <v>0</v>
      </c>
      <c r="BC101" s="12">
        <f>$I$49*$BC$49</f>
        <v>0</v>
      </c>
      <c r="BD101" s="12">
        <f>$I$49*$BD$49</f>
        <v>0</v>
      </c>
    </row>
    <row r="102" spans="1:56" ht="11.25" customHeight="1" x14ac:dyDescent="0.25">
      <c r="A102" s="9" t="s">
        <v>42</v>
      </c>
      <c r="B102" s="9" t="s">
        <v>785</v>
      </c>
      <c r="C102" s="9" t="s">
        <v>786</v>
      </c>
      <c r="D102" s="9" t="s">
        <v>787</v>
      </c>
      <c r="E102" s="9" t="s">
        <v>788</v>
      </c>
      <c r="F102" s="9" t="s">
        <v>789</v>
      </c>
      <c r="G102" s="9" t="s">
        <v>790</v>
      </c>
      <c r="L102" s="12">
        <f>$I$50*$L$50</f>
        <v>0</v>
      </c>
      <c r="M102" s="12">
        <f>$I$50*$M$50</f>
        <v>0</v>
      </c>
      <c r="N102" s="12">
        <f ca="1">$I$50*$N$50</f>
        <v>0</v>
      </c>
      <c r="O102" s="12">
        <f>$I$50*$O$50</f>
        <v>0</v>
      </c>
      <c r="P102" s="12">
        <f>$I$50*$P$50</f>
        <v>0</v>
      </c>
      <c r="Q102" s="12">
        <f>$I$50*$Q$50</f>
        <v>0</v>
      </c>
      <c r="R102" s="12">
        <f>$I$50*$R$50</f>
        <v>0</v>
      </c>
      <c r="S102" s="12">
        <f>$I$50*$S$50</f>
        <v>0</v>
      </c>
      <c r="T102" s="12">
        <f>$I$50*$T$50</f>
        <v>0</v>
      </c>
      <c r="U102" s="12">
        <f>$I$50*$U$50</f>
        <v>0</v>
      </c>
      <c r="V102" s="12">
        <f>$I$50*$V$50</f>
        <v>0</v>
      </c>
      <c r="W102" s="12">
        <f>$I$50*$W$50</f>
        <v>0</v>
      </c>
      <c r="X102" s="12">
        <f>$I$50*$X$50</f>
        <v>0</v>
      </c>
      <c r="Y102" s="12">
        <f>$I$50*$Y$50</f>
        <v>0</v>
      </c>
      <c r="Z102" s="12">
        <f>$I$50*$Z$50</f>
        <v>0</v>
      </c>
      <c r="AA102" s="12">
        <f>$I$50*$AA$50</f>
        <v>0</v>
      </c>
      <c r="AB102" s="12">
        <f ca="1">$I$50*$AB$50</f>
        <v>0</v>
      </c>
      <c r="AC102" s="12">
        <f ca="1">$I$50*$AC$50</f>
        <v>0</v>
      </c>
      <c r="AD102" s="12">
        <f>$I$50*$AD$50</f>
        <v>0</v>
      </c>
      <c r="AE102" s="12">
        <f>$I$50*$AE$50</f>
        <v>0</v>
      </c>
      <c r="AF102" s="12">
        <f ca="1">$I$50*$AF$50</f>
        <v>0</v>
      </c>
      <c r="AG102" s="12">
        <f ca="1">$I$50*$AG$50</f>
        <v>0</v>
      </c>
      <c r="AI102" s="12">
        <f>$I$50*$AI$50</f>
        <v>0</v>
      </c>
      <c r="AJ102" s="12">
        <f>$I$50*$AJ$50</f>
        <v>0</v>
      </c>
      <c r="AK102" s="12">
        <f>$I$50*$AK$50</f>
        <v>0</v>
      </c>
      <c r="AL102" s="12">
        <f>$I$50*$AL$50</f>
        <v>0</v>
      </c>
      <c r="AM102" s="12">
        <f>$I$50*$AM$50</f>
        <v>0</v>
      </c>
      <c r="AN102" s="12">
        <f>$I$50*$AN$50</f>
        <v>0</v>
      </c>
      <c r="AO102" s="12">
        <f>$I$50*$AO$50</f>
        <v>0</v>
      </c>
      <c r="AP102" s="12">
        <f>$I$50*$AP$50</f>
        <v>0</v>
      </c>
      <c r="AQ102" s="12">
        <f>$I$50*$AQ$50</f>
        <v>0</v>
      </c>
      <c r="AR102" s="12">
        <f>$I$50*$AR$50</f>
        <v>0</v>
      </c>
      <c r="AS102" s="12">
        <f>$I$50*$AS$50</f>
        <v>0</v>
      </c>
      <c r="AT102" s="12">
        <f>$I$50*$AT$50</f>
        <v>0</v>
      </c>
      <c r="AU102" s="12">
        <f>$I$50*$AU$50</f>
        <v>0</v>
      </c>
      <c r="AV102" s="12">
        <f>$I$50*$AV$50</f>
        <v>0</v>
      </c>
      <c r="AW102" s="12">
        <f>$I$50*$AW$50</f>
        <v>0</v>
      </c>
      <c r="AX102" s="12">
        <f>$I$50*$AX$50</f>
        <v>0</v>
      </c>
      <c r="AY102" s="12">
        <f>$I$50*$AY$50</f>
        <v>0</v>
      </c>
      <c r="AZ102" s="12">
        <f>$I$50*$AZ$50</f>
        <v>0</v>
      </c>
      <c r="BA102" s="12">
        <f>$I$50*$BA$50</f>
        <v>0</v>
      </c>
      <c r="BB102" s="12">
        <f>$I$50*$BB$50</f>
        <v>0</v>
      </c>
      <c r="BC102" s="12">
        <f>$I$50*$BC$50</f>
        <v>0</v>
      </c>
      <c r="BD102" s="12">
        <f>$I$50*$BD$50</f>
        <v>0</v>
      </c>
    </row>
    <row r="103" spans="1:56" ht="11.25" customHeight="1" x14ac:dyDescent="0.25">
      <c r="A103" s="9" t="s">
        <v>42</v>
      </c>
      <c r="B103" s="9" t="s">
        <v>785</v>
      </c>
      <c r="C103" s="9" t="s">
        <v>786</v>
      </c>
      <c r="D103" s="9" t="s">
        <v>791</v>
      </c>
      <c r="E103" s="9" t="s">
        <v>792</v>
      </c>
      <c r="F103" s="9" t="s">
        <v>793</v>
      </c>
      <c r="G103" s="9" t="s">
        <v>794</v>
      </c>
      <c r="L103" s="12">
        <f>$I$51*$L$51</f>
        <v>0</v>
      </c>
      <c r="M103" s="12">
        <f>$I$51*$M$51</f>
        <v>194.41384640565556</v>
      </c>
      <c r="N103" s="12">
        <f ca="1">$I$51*$N$51</f>
        <v>0</v>
      </c>
      <c r="O103" s="12">
        <f>$I$51*$O$51</f>
        <v>0</v>
      </c>
      <c r="P103" s="12">
        <f>$I$51*$P$51</f>
        <v>0</v>
      </c>
      <c r="Q103" s="12">
        <f>$I$51*$Q$51</f>
        <v>29143.366083570359</v>
      </c>
      <c r="R103" s="12">
        <f>$I$51*$R$51</f>
        <v>4607.2655060262796</v>
      </c>
      <c r="S103" s="12">
        <f>$I$51*$S$51</f>
        <v>0</v>
      </c>
      <c r="T103" s="12">
        <f>$I$51*$T$51</f>
        <v>0</v>
      </c>
      <c r="U103" s="12">
        <f>$I$51*$U$51</f>
        <v>0</v>
      </c>
      <c r="V103" s="12">
        <f>$I$51*$V$51</f>
        <v>0</v>
      </c>
      <c r="W103" s="12">
        <f>$I$51*$W$51</f>
        <v>0</v>
      </c>
      <c r="X103" s="12">
        <f>$I$51*$X$51</f>
        <v>12445.128742916299</v>
      </c>
      <c r="Y103" s="12">
        <f>$I$51*$Y$51</f>
        <v>0</v>
      </c>
      <c r="Z103" s="12">
        <f>$I$51*$Z$51</f>
        <v>0</v>
      </c>
      <c r="AA103" s="12">
        <f>$I$51*$AA$51</f>
        <v>43276.519403247934</v>
      </c>
      <c r="AB103" s="12">
        <f ca="1">$I$51*$AB$51</f>
        <v>-2346.9278098848563</v>
      </c>
      <c r="AC103" s="12">
        <f ca="1">$I$51*$AC$51</f>
        <v>0</v>
      </c>
      <c r="AD103" s="12">
        <f>$I$51*$AD$51</f>
        <v>4470.5069092226413</v>
      </c>
      <c r="AE103" s="12">
        <f>$I$51*$AE$51</f>
        <v>0</v>
      </c>
      <c r="AF103" s="12">
        <f ca="1">$I$51*$AF$51</f>
        <v>0</v>
      </c>
      <c r="AG103" s="12">
        <f ca="1">$I$51*$AG$51</f>
        <v>0</v>
      </c>
      <c r="AI103" s="12">
        <f>$I$51*$AI$51</f>
        <v>0</v>
      </c>
      <c r="AJ103" s="12">
        <f>$I$51*$AJ$51</f>
        <v>155.1907818022745</v>
      </c>
      <c r="AK103" s="12">
        <f>$I$51*$AK$51</f>
        <v>0</v>
      </c>
      <c r="AL103" s="12">
        <f>$I$51*$AL$51</f>
        <v>0</v>
      </c>
      <c r="AM103" s="12">
        <f>$I$51*$AM$51</f>
        <v>0</v>
      </c>
      <c r="AN103" s="12">
        <f>$I$51*$AN$51</f>
        <v>18275.985462411732</v>
      </c>
      <c r="AO103" s="12">
        <f>$I$51*$AO$51</f>
        <v>2867.6120443559785</v>
      </c>
      <c r="AP103" s="12">
        <f>$I$51*$AP$51</f>
        <v>0</v>
      </c>
      <c r="AQ103" s="12">
        <f>$I$51*$AQ$51</f>
        <v>0</v>
      </c>
      <c r="AR103" s="12">
        <f>$I$51*$AR$51</f>
        <v>0</v>
      </c>
      <c r="AS103" s="12">
        <f>$I$51*$AS$51</f>
        <v>0</v>
      </c>
      <c r="AT103" s="12">
        <f>$I$51*$AT$51</f>
        <v>0</v>
      </c>
      <c r="AU103" s="12">
        <f>$I$51*$AU$51</f>
        <v>14615.940512676016</v>
      </c>
      <c r="AV103" s="12">
        <f>$I$51*$AV$51</f>
        <v>0</v>
      </c>
      <c r="AW103" s="12">
        <f>$I$51*$AW$51</f>
        <v>0</v>
      </c>
      <c r="AX103" s="12">
        <f>$I$51*$AX$51</f>
        <v>36568.937443436102</v>
      </c>
      <c r="AY103" s="12">
        <f>$I$51*$AY$51</f>
        <v>0</v>
      </c>
      <c r="AZ103" s="12">
        <f>$I$51*$AZ$51</f>
        <v>0</v>
      </c>
      <c r="BA103" s="12">
        <f>$I$51*$BA$51</f>
        <v>539.42224693067851</v>
      </c>
      <c r="BB103" s="12">
        <f>$I$51*$BB$51</f>
        <v>0</v>
      </c>
      <c r="BC103" s="12">
        <f>$I$51*$BC$51</f>
        <v>0</v>
      </c>
      <c r="BD103" s="12">
        <f>$I$51*$BD$51</f>
        <v>0</v>
      </c>
    </row>
  </sheetData>
  <mergeCells count="88">
    <mergeCell ref="A1:A4"/>
    <mergeCell ref="B1:B4"/>
    <mergeCell ref="C1:C4"/>
    <mergeCell ref="D1:D4"/>
    <mergeCell ref="E1:E4"/>
    <mergeCell ref="J1:J4"/>
    <mergeCell ref="L1:AG1"/>
    <mergeCell ref="L2:AG2"/>
    <mergeCell ref="L3:S3"/>
    <mergeCell ref="T3:Z3"/>
    <mergeCell ref="F5:F7"/>
    <mergeCell ref="B10:B14"/>
    <mergeCell ref="G1:G4"/>
    <mergeCell ref="H1:H4"/>
    <mergeCell ref="I1:I4"/>
    <mergeCell ref="F1:F4"/>
    <mergeCell ref="F10:F12"/>
    <mergeCell ref="F13:F14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AI1:BD1"/>
    <mergeCell ref="AI2:BD2"/>
    <mergeCell ref="AI3:AP3"/>
    <mergeCell ref="AQ3:AW3"/>
    <mergeCell ref="AY3:AZ3"/>
    <mergeCell ref="E45:E47"/>
    <mergeCell ref="F45:F47"/>
    <mergeCell ref="A50:A51"/>
    <mergeCell ref="B50:B51"/>
    <mergeCell ref="C50:C51"/>
    <mergeCell ref="D45:D47"/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AA8B-03DA-48DE-B24E-6896F7EB5BF5}">
  <dimension ref="A1:AH83"/>
  <sheetViews>
    <sheetView showGridLines="0" topLeftCell="L20" workbookViewId="0">
      <selection activeCell="V42" sqref="V42"/>
    </sheetView>
  </sheetViews>
  <sheetFormatPr defaultRowHeight="11.25" customHeight="1" x14ac:dyDescent="0.25"/>
  <cols>
    <col min="1" max="1" width="9.28515625" style="9" bestFit="1" customWidth="1"/>
    <col min="2" max="2" width="29" style="9" bestFit="1" customWidth="1"/>
    <col min="3" max="3" width="38.7109375" style="9" bestFit="1" customWidth="1"/>
    <col min="4" max="4" width="61.7109375" style="9" bestFit="1" customWidth="1"/>
    <col min="5" max="5" width="71.42578125" style="9" bestFit="1" customWidth="1"/>
    <col min="6" max="6" width="81" style="9" bestFit="1" customWidth="1"/>
    <col min="7" max="7" width="81.8554687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2" width="4.140625" style="9" bestFit="1" customWidth="1"/>
    <col min="13" max="13" width="7.140625" style="9" bestFit="1" customWidth="1"/>
    <col min="14" max="14" width="6" style="9" bestFit="1" customWidth="1"/>
    <col min="15" max="15" width="11.140625" style="9" bestFit="1" customWidth="1"/>
    <col min="16" max="16" width="8.140625" style="9" bestFit="1" customWidth="1"/>
    <col min="17" max="17" width="15" style="9" bestFit="1" customWidth="1"/>
    <col min="18" max="18" width="6" style="9" bestFit="1" customWidth="1"/>
    <col min="19" max="19" width="10.42578125" style="9" bestFit="1" customWidth="1"/>
    <col min="20" max="20" width="7" style="9" bestFit="1" customWidth="1"/>
    <col min="21" max="21" width="11.140625" style="9" bestFit="1" customWidth="1"/>
    <col min="22" max="22" width="11" style="9" bestFit="1" customWidth="1"/>
    <col min="23" max="23" width="9.140625" style="9"/>
    <col min="24" max="24" width="4.140625" style="9" bestFit="1" customWidth="1"/>
    <col min="25" max="25" width="7.140625" style="9" bestFit="1" customWidth="1"/>
    <col min="26" max="26" width="6" style="9" bestFit="1" customWidth="1"/>
    <col min="27" max="27" width="11.140625" style="9" bestFit="1" customWidth="1"/>
    <col min="28" max="28" width="8.140625" style="9" bestFit="1" customWidth="1"/>
    <col min="29" max="29" width="15" style="9" bestFit="1" customWidth="1"/>
    <col min="30" max="30" width="6" style="9" bestFit="1" customWidth="1"/>
    <col min="31" max="31" width="10.42578125" style="9" bestFit="1" customWidth="1"/>
    <col min="32" max="32" width="7" style="9" bestFit="1" customWidth="1"/>
    <col min="33" max="33" width="11.140625" style="9" bestFit="1" customWidth="1"/>
    <col min="34" max="34" width="11" style="9" bestFit="1" customWidth="1"/>
    <col min="35" max="16384" width="9.140625" style="9"/>
  </cols>
  <sheetData>
    <row r="1" spans="1:34" ht="11.25" customHeight="1" x14ac:dyDescent="0.25">
      <c r="A1" s="113" t="s">
        <v>53</v>
      </c>
      <c r="B1" s="113" t="s">
        <v>54</v>
      </c>
      <c r="C1" s="113" t="s">
        <v>55</v>
      </c>
      <c r="D1" s="113" t="s">
        <v>56</v>
      </c>
      <c r="E1" s="113" t="s">
        <v>57</v>
      </c>
      <c r="F1" s="113" t="s">
        <v>15</v>
      </c>
      <c r="G1" s="113" t="s">
        <v>59</v>
      </c>
      <c r="H1" s="113" t="s">
        <v>60</v>
      </c>
      <c r="I1" s="113" t="s">
        <v>423</v>
      </c>
      <c r="J1" s="98"/>
      <c r="L1" s="114" t="s">
        <v>795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X1" s="114" t="s">
        <v>796</v>
      </c>
      <c r="Y1" s="114"/>
      <c r="Z1" s="114"/>
      <c r="AA1" s="114"/>
      <c r="AB1" s="114"/>
      <c r="AC1" s="114"/>
      <c r="AD1" s="114"/>
      <c r="AE1" s="114"/>
      <c r="AF1" s="114"/>
      <c r="AG1" s="114"/>
      <c r="AH1" s="114"/>
    </row>
    <row r="2" spans="1:34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8"/>
      <c r="L2" s="114" t="s">
        <v>350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X2" s="114" t="s">
        <v>350</v>
      </c>
      <c r="Y2" s="114"/>
      <c r="Z2" s="114"/>
      <c r="AA2" s="114"/>
      <c r="AB2" s="114"/>
      <c r="AC2" s="114"/>
      <c r="AD2" s="114"/>
      <c r="AE2" s="114"/>
      <c r="AF2" s="114"/>
      <c r="AG2" s="114"/>
      <c r="AH2" s="114"/>
    </row>
    <row r="3" spans="1:34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8"/>
      <c r="L3" s="114" t="s">
        <v>323</v>
      </c>
      <c r="M3" s="114"/>
      <c r="N3" s="114"/>
      <c r="O3" s="114"/>
      <c r="P3" s="114"/>
      <c r="Q3" s="24" t="s">
        <v>354</v>
      </c>
      <c r="R3" s="114" t="s">
        <v>332</v>
      </c>
      <c r="S3" s="114"/>
      <c r="T3" s="114"/>
      <c r="U3" s="24" t="s">
        <v>342</v>
      </c>
      <c r="V3" s="24" t="s">
        <v>345</v>
      </c>
      <c r="X3" s="114" t="s">
        <v>323</v>
      </c>
      <c r="Y3" s="114"/>
      <c r="Z3" s="114"/>
      <c r="AA3" s="114"/>
      <c r="AB3" s="114"/>
      <c r="AC3" s="24" t="s">
        <v>354</v>
      </c>
      <c r="AD3" s="114" t="s">
        <v>332</v>
      </c>
      <c r="AE3" s="114"/>
      <c r="AF3" s="114"/>
      <c r="AG3" s="24" t="s">
        <v>342</v>
      </c>
      <c r="AH3" s="24" t="s">
        <v>345</v>
      </c>
    </row>
    <row r="4" spans="1:34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8"/>
      <c r="L4" s="24" t="s">
        <v>325</v>
      </c>
      <c r="M4" s="24" t="s">
        <v>351</v>
      </c>
      <c r="N4" s="24" t="s">
        <v>352</v>
      </c>
      <c r="O4" s="24" t="s">
        <v>411</v>
      </c>
      <c r="P4" s="24" t="s">
        <v>353</v>
      </c>
      <c r="Q4" s="24" t="s">
        <v>355</v>
      </c>
      <c r="R4" s="24" t="s">
        <v>356</v>
      </c>
      <c r="S4" s="24" t="s">
        <v>357</v>
      </c>
      <c r="T4" s="24" t="s">
        <v>358</v>
      </c>
      <c r="U4" s="24" t="s">
        <v>343</v>
      </c>
      <c r="V4" s="24" t="s">
        <v>359</v>
      </c>
      <c r="X4" s="24" t="s">
        <v>325</v>
      </c>
      <c r="Y4" s="24" t="s">
        <v>351</v>
      </c>
      <c r="Z4" s="24" t="s">
        <v>352</v>
      </c>
      <c r="AA4" s="24" t="s">
        <v>411</v>
      </c>
      <c r="AB4" s="24" t="s">
        <v>353</v>
      </c>
      <c r="AC4" s="24" t="s">
        <v>355</v>
      </c>
      <c r="AD4" s="24" t="s">
        <v>356</v>
      </c>
      <c r="AE4" s="24" t="s">
        <v>357</v>
      </c>
      <c r="AF4" s="24" t="s">
        <v>358</v>
      </c>
      <c r="AG4" s="24" t="s">
        <v>343</v>
      </c>
      <c r="AH4" s="24" t="s">
        <v>359</v>
      </c>
    </row>
    <row r="5" spans="1:34" ht="11.25" customHeight="1" x14ac:dyDescent="0.25">
      <c r="A5" s="112" t="s">
        <v>33</v>
      </c>
      <c r="B5" s="112" t="s">
        <v>62</v>
      </c>
      <c r="C5" s="112" t="s">
        <v>25</v>
      </c>
      <c r="D5" s="112" t="s">
        <v>25</v>
      </c>
      <c r="E5" s="112" t="s">
        <v>25</v>
      </c>
      <c r="F5" s="112" t="s">
        <v>25</v>
      </c>
      <c r="G5" s="22" t="s">
        <v>64</v>
      </c>
      <c r="H5" s="22" t="s">
        <v>63</v>
      </c>
      <c r="I5" s="22">
        <f>'MERCADO TE'!$U$2</f>
        <v>4424.8969999999999</v>
      </c>
      <c r="J5" s="15"/>
      <c r="L5" s="20">
        <f>('TE BE'!$L$5+'TE BF'!$L$5+'TE CVA'!$L$5)*1</f>
        <v>0</v>
      </c>
      <c r="M5" s="20">
        <f>('TE BE'!$M$5+'TE BF'!$M$5+'TE CVA'!$M$5)*1</f>
        <v>0</v>
      </c>
      <c r="N5" s="20">
        <f>('TE BE'!$N$5+'TE BF'!$N$5+'TE CVA'!$N$5)*1</f>
        <v>0</v>
      </c>
      <c r="O5" s="20">
        <f>('TE BE'!$O$5+'TE BF'!$O$5+'TE CVA'!$O$5)*1</f>
        <v>0</v>
      </c>
      <c r="P5" s="20">
        <f>('TE BE'!$P$5+'TE BF'!$P$5+'TE CVA'!$P$5)*1</f>
        <v>0</v>
      </c>
      <c r="Q5" s="20">
        <f>('TE BE'!$R$5+'TE BF'!$R$5+'TE CVA'!$R$5)*1</f>
        <v>245.99468253937621</v>
      </c>
      <c r="R5" s="20">
        <f>('TE BE'!$T$5+'TE BF'!$T$5+'TE CVA'!$T$5)*1</f>
        <v>0</v>
      </c>
      <c r="S5" s="20">
        <f>('TE BE'!$U$5+'TE BF'!$U$5+'TE CVA'!$U$5)*1</f>
        <v>0</v>
      </c>
      <c r="T5" s="20">
        <f>('TE BE'!$V$5+'TE BF'!$V$5+'TE CVA'!$V$5)*1</f>
        <v>0</v>
      </c>
      <c r="U5" s="20">
        <f>('TE BE'!$X$5+'TE BF'!$X$5+'TE CVA'!$X$5)*1</f>
        <v>-6.0835263833486151</v>
      </c>
      <c r="V5" s="20">
        <f>('TE BE'!$Z$5+'TE BF'!$Z$5+'TE CVA'!$Z$5)*1</f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241.37351207812699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</row>
    <row r="6" spans="1:34" ht="11.25" customHeight="1" x14ac:dyDescent="0.25">
      <c r="A6" s="112"/>
      <c r="B6" s="112"/>
      <c r="C6" s="112"/>
      <c r="D6" s="112"/>
      <c r="E6" s="112"/>
      <c r="F6" s="112"/>
      <c r="G6" s="22" t="s">
        <v>65</v>
      </c>
      <c r="H6" s="22" t="s">
        <v>63</v>
      </c>
      <c r="I6" s="22">
        <f>'MERCADO TE'!$U$3</f>
        <v>46701.057000000001</v>
      </c>
      <c r="J6" s="15"/>
      <c r="L6" s="20">
        <f>('TE BE'!$L$6+'TE BF'!$L$6+'TE CVA'!$L$6)*1</f>
        <v>0</v>
      </c>
      <c r="M6" s="20">
        <f>('TE BE'!$M$6+'TE BF'!$M$6+'TE CVA'!$M$6)*1</f>
        <v>0</v>
      </c>
      <c r="N6" s="20">
        <f>('TE BE'!$N$6+'TE BF'!$N$6+'TE CVA'!$N$6)*1</f>
        <v>0</v>
      </c>
      <c r="O6" s="20">
        <f>('TE BE'!$O$6+'TE BF'!$O$6+'TE CVA'!$O$6)*1</f>
        <v>0</v>
      </c>
      <c r="P6" s="20">
        <f>('TE BE'!$P$6+'TE BF'!$P$6+'TE CVA'!$P$6)*1</f>
        <v>0</v>
      </c>
      <c r="Q6" s="20">
        <f>('TE BE'!$R$6+'TE BF'!$R$6+'TE CVA'!$R$6)*1</f>
        <v>245.99468253937621</v>
      </c>
      <c r="R6" s="20">
        <f>('TE BE'!$T$6+'TE BF'!$T$6+'TE CVA'!$T$6)*1</f>
        <v>0</v>
      </c>
      <c r="S6" s="20">
        <f>('TE BE'!$U$6+'TE BF'!$U$6+'TE CVA'!$U$6)*1</f>
        <v>0</v>
      </c>
      <c r="T6" s="20">
        <f>('TE BE'!$V$6+'TE BF'!$V$6+'TE CVA'!$V$6)*1</f>
        <v>0</v>
      </c>
      <c r="U6" s="20">
        <f>('TE BE'!$X$6+'TE BF'!$X$6+'TE CVA'!$X$6)*1</f>
        <v>-6.0835263833486151</v>
      </c>
      <c r="V6" s="20">
        <f>('TE BE'!$Z$6+'TE BF'!$Z$6+'TE CVA'!$Z$6)*1</f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241.37351207812699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</row>
    <row r="7" spans="1:34" ht="11.25" customHeight="1" x14ac:dyDescent="0.25">
      <c r="A7" s="112" t="s">
        <v>22</v>
      </c>
      <c r="B7" s="112" t="s">
        <v>62</v>
      </c>
      <c r="C7" s="112" t="s">
        <v>24</v>
      </c>
      <c r="D7" s="112" t="s">
        <v>24</v>
      </c>
      <c r="E7" s="112" t="s">
        <v>25</v>
      </c>
      <c r="F7" s="112" t="s">
        <v>25</v>
      </c>
      <c r="G7" s="22" t="s">
        <v>64</v>
      </c>
      <c r="H7" s="22" t="s">
        <v>63</v>
      </c>
      <c r="I7" s="22">
        <f>'MERCADO TE'!$U$4</f>
        <v>0</v>
      </c>
      <c r="J7" s="15"/>
      <c r="L7" s="20">
        <f>('TE BE'!$L$7+'TE BF'!$L$7+'TE CVA'!$L$7)*1</f>
        <v>0</v>
      </c>
      <c r="M7" s="20">
        <f>('TE BE'!$M$7+'TE BF'!$M$7+'TE CVA'!$M$7)*1</f>
        <v>0</v>
      </c>
      <c r="N7" s="20">
        <f>('TE BE'!$N$7+'TE BF'!$N$7+'TE CVA'!$N$7)*1</f>
        <v>0</v>
      </c>
      <c r="O7" s="20">
        <f>('TE BE'!$O$7+'TE BF'!$O$7+'TE CVA'!$O$7)*1</f>
        <v>0</v>
      </c>
      <c r="P7" s="20">
        <f>('TE BE'!$P$7+'TE BF'!$P$7+'TE CVA'!$P$7)*1</f>
        <v>0</v>
      </c>
      <c r="Q7" s="20">
        <f>('TE BE'!$R$7+'TE BF'!$R$7+'TE CVA'!$R$7)*1</f>
        <v>245.99468253937621</v>
      </c>
      <c r="R7" s="20">
        <f>('TE BE'!$T$7+'TE BF'!$T$7+'TE CVA'!$T$7)*1</f>
        <v>0</v>
      </c>
      <c r="S7" s="20">
        <f>('TE BE'!$U$7+'TE BF'!$U$7+'TE CVA'!$U$7)*1</f>
        <v>0</v>
      </c>
      <c r="T7" s="20">
        <f>('TE BE'!$V$7+'TE BF'!$V$7+'TE CVA'!$V$7)*1</f>
        <v>0</v>
      </c>
      <c r="U7" s="20">
        <f>('TE BE'!$X$7+'TE BF'!$X$7+'TE CVA'!$X$7)*1</f>
        <v>-6.0835263833486151</v>
      </c>
      <c r="V7" s="20">
        <f>('TE BE'!$Z$7+'TE BF'!$Z$7+'TE CVA'!$Z$7)*1</f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241.37351207812699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</row>
    <row r="8" spans="1:34" ht="11.25" customHeight="1" x14ac:dyDescent="0.25">
      <c r="A8" s="112"/>
      <c r="B8" s="112"/>
      <c r="C8" s="112"/>
      <c r="D8" s="112"/>
      <c r="E8" s="112"/>
      <c r="F8" s="112"/>
      <c r="G8" s="22" t="s">
        <v>75</v>
      </c>
      <c r="H8" s="22" t="s">
        <v>63</v>
      </c>
      <c r="I8" s="22">
        <f>'MERCADO TE'!$U$5</f>
        <v>0</v>
      </c>
      <c r="J8" s="15"/>
      <c r="L8" s="20">
        <f>('TE BE'!$L$8+'TE BF'!$L$8+'TE CVA'!$L$8)*1</f>
        <v>0</v>
      </c>
      <c r="M8" s="20">
        <f>('TE BE'!$M$8+'TE BF'!$M$8+'TE CVA'!$M$8)*1</f>
        <v>0</v>
      </c>
      <c r="N8" s="20">
        <f>('TE BE'!$N$8+'TE BF'!$N$8+'TE CVA'!$N$8)*1</f>
        <v>0</v>
      </c>
      <c r="O8" s="20">
        <f>('TE BE'!$O$8+'TE BF'!$O$8+'TE CVA'!$O$8)*1</f>
        <v>0</v>
      </c>
      <c r="P8" s="20">
        <f>('TE BE'!$P$8+'TE BF'!$P$8+'TE CVA'!$P$8)*1</f>
        <v>0</v>
      </c>
      <c r="Q8" s="20">
        <f>('TE BE'!$R$8+'TE BF'!$R$8+'TE CVA'!$R$8)*1</f>
        <v>245.99468253937621</v>
      </c>
      <c r="R8" s="20">
        <f>('TE BE'!$T$8+'TE BF'!$T$8+'TE CVA'!$T$8)*1</f>
        <v>0</v>
      </c>
      <c r="S8" s="20">
        <f>('TE BE'!$U$8+'TE BF'!$U$8+'TE CVA'!$U$8)*1</f>
        <v>0</v>
      </c>
      <c r="T8" s="20">
        <f>('TE BE'!$V$8+'TE BF'!$V$8+'TE CVA'!$V$8)*1</f>
        <v>0</v>
      </c>
      <c r="U8" s="20">
        <f>('TE BE'!$X$8+'TE BF'!$X$8+'TE CVA'!$X$8)*1</f>
        <v>-6.0835263833486151</v>
      </c>
      <c r="V8" s="20">
        <f>('TE BE'!$Z$8+'TE BF'!$Z$8+'TE CVA'!$Z$8)*1</f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241.37351207812699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</row>
    <row r="9" spans="1:34" ht="11.25" customHeight="1" x14ac:dyDescent="0.25">
      <c r="A9" s="112"/>
      <c r="B9" s="112"/>
      <c r="C9" s="112"/>
      <c r="D9" s="112"/>
      <c r="E9" s="112"/>
      <c r="F9" s="112"/>
      <c r="G9" s="22" t="s">
        <v>65</v>
      </c>
      <c r="H9" s="22" t="s">
        <v>63</v>
      </c>
      <c r="I9" s="22">
        <f>'MERCADO TE'!$U$6</f>
        <v>0</v>
      </c>
      <c r="J9" s="15"/>
      <c r="L9" s="20">
        <f>('TE BE'!$L$9+'TE BF'!$L$9+'TE CVA'!$L$9)*1</f>
        <v>0</v>
      </c>
      <c r="M9" s="20">
        <f>('TE BE'!$M$9+'TE BF'!$M$9+'TE CVA'!$M$9)*1</f>
        <v>0</v>
      </c>
      <c r="N9" s="20">
        <f>('TE BE'!$N$9+'TE BF'!$N$9+'TE CVA'!$N$9)*1</f>
        <v>0</v>
      </c>
      <c r="O9" s="20">
        <f>('TE BE'!$O$9+'TE BF'!$O$9+'TE CVA'!$O$9)*1</f>
        <v>0</v>
      </c>
      <c r="P9" s="20">
        <f>('TE BE'!$P$9+'TE BF'!$P$9+'TE CVA'!$P$9)*1</f>
        <v>0</v>
      </c>
      <c r="Q9" s="20">
        <f>('TE BE'!$R$9+'TE BF'!$R$9+'TE CVA'!$R$9)*1</f>
        <v>245.99468253937621</v>
      </c>
      <c r="R9" s="20">
        <f>('TE BE'!$T$9+'TE BF'!$T$9+'TE CVA'!$T$9)*1</f>
        <v>0</v>
      </c>
      <c r="S9" s="20">
        <f>('TE BE'!$U$9+'TE BF'!$U$9+'TE CVA'!$U$9)*1</f>
        <v>0</v>
      </c>
      <c r="T9" s="20">
        <f>('TE BE'!$V$9+'TE BF'!$V$9+'TE CVA'!$V$9)*1</f>
        <v>0</v>
      </c>
      <c r="U9" s="20">
        <f>('TE BE'!$X$9+'TE BF'!$X$9+'TE CVA'!$X$9)*1</f>
        <v>-6.0835263833486151</v>
      </c>
      <c r="V9" s="20">
        <f>('TE BE'!$Z$9+'TE BF'!$Z$9+'TE CVA'!$Z$9)*1</f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241.37351207812699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</row>
    <row r="10" spans="1:34" ht="11.25" customHeight="1" x14ac:dyDescent="0.25">
      <c r="A10" s="112"/>
      <c r="B10" s="112" t="s">
        <v>76</v>
      </c>
      <c r="C10" s="112" t="s">
        <v>24</v>
      </c>
      <c r="D10" s="23" t="s">
        <v>24</v>
      </c>
      <c r="E10" s="23" t="s">
        <v>25</v>
      </c>
      <c r="F10" s="23" t="s">
        <v>25</v>
      </c>
      <c r="G10" s="22" t="s">
        <v>69</v>
      </c>
      <c r="H10" s="22" t="s">
        <v>63</v>
      </c>
      <c r="I10" s="22">
        <f>'MERCADO TE'!$U$7</f>
        <v>2968.7139999999999</v>
      </c>
      <c r="J10" s="15"/>
      <c r="L10" s="20">
        <f>('TE BE'!$L$10+'TE BF'!$L$10+'TE CVA'!$L$10)*1</f>
        <v>0</v>
      </c>
      <c r="M10" s="20">
        <f>('TE BE'!$M$10+'TE BF'!$M$10+'TE CVA'!$M$10)*1</f>
        <v>0</v>
      </c>
      <c r="N10" s="20">
        <f>('TE BE'!$N$10+'TE BF'!$N$10+'TE CVA'!$N$10)*1</f>
        <v>0</v>
      </c>
      <c r="O10" s="20">
        <f>('TE BE'!$O$10+'TE BF'!$O$10+'TE CVA'!$O$10)*1</f>
        <v>0</v>
      </c>
      <c r="P10" s="20">
        <f>('TE BE'!$P$10+'TE BF'!$P$10+'TE CVA'!$P$10)*1</f>
        <v>0</v>
      </c>
      <c r="Q10" s="20">
        <f>('TE BE'!$R$10+'TE BF'!$R$10+'TE CVA'!$R$10)*1</f>
        <v>245.99468253937621</v>
      </c>
      <c r="R10" s="20">
        <f>('TE BE'!$T$10+'TE BF'!$T$10+'TE CVA'!$T$10)*1</f>
        <v>0</v>
      </c>
      <c r="S10" s="20">
        <f>('TE BE'!$U$10+'TE BF'!$U$10+'TE CVA'!$U$10)*1</f>
        <v>0</v>
      </c>
      <c r="T10" s="20">
        <f>('TE BE'!$V$10+'TE BF'!$V$10+'TE CVA'!$V$10)*1</f>
        <v>0</v>
      </c>
      <c r="U10" s="20">
        <f>('TE BE'!$X$10+'TE BF'!$X$10+'TE CVA'!$X$10)*1</f>
        <v>-6.0835263833486151</v>
      </c>
      <c r="V10" s="20">
        <f>('TE BE'!$Z$10+'TE BF'!$Z$10+'TE CVA'!$Z$10)*1</f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241.37351207812699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</row>
    <row r="11" spans="1:34" ht="11.25" customHeight="1" x14ac:dyDescent="0.25">
      <c r="A11" s="112"/>
      <c r="B11" s="112"/>
      <c r="C11" s="112"/>
      <c r="D11" s="23" t="s">
        <v>27</v>
      </c>
      <c r="E11" s="23" t="s">
        <v>25</v>
      </c>
      <c r="F11" s="23" t="s">
        <v>25</v>
      </c>
      <c r="G11" s="22" t="s">
        <v>69</v>
      </c>
      <c r="H11" s="22" t="s">
        <v>63</v>
      </c>
      <c r="I11" s="22">
        <f>'MERCADO TE'!$U$8</f>
        <v>3.0050000000000003</v>
      </c>
      <c r="J11" s="15"/>
      <c r="L11" s="20">
        <f>('TE BE'!$L$11+'TE BF'!$L$11+'TE CVA'!$L$11)*(1 - 0.65)</f>
        <v>0</v>
      </c>
      <c r="M11" s="20">
        <f>('TE BE'!$M$11+'TE BF'!$M$11+'TE CVA'!$M$11)*(1 - 0.65)</f>
        <v>0</v>
      </c>
      <c r="N11" s="20">
        <f>('TE BE'!$N$11+'TE BF'!$N$11+'TE CVA'!$N$11)*(1 - 0.65)</f>
        <v>0</v>
      </c>
      <c r="O11" s="20">
        <f>('TE BE'!$O$11+'TE BF'!$O$11+'TE CVA'!$O$11)*(1 - 0.65)</f>
        <v>0</v>
      </c>
      <c r="P11" s="20">
        <f>('TE BE'!$P$11+'TE BF'!$P$11+'TE CVA'!$P$11)*(1 - 0.65)</f>
        <v>0</v>
      </c>
      <c r="Q11" s="20">
        <f>('TE BE'!$R$11+'TE BF'!$R$11+'TE CVA'!$R$11)*(1 - 0.65)</f>
        <v>86.098138888781676</v>
      </c>
      <c r="R11" s="20">
        <f>('TE BE'!$T$11+'TE BF'!$T$11+'TE CVA'!$T$11)*(1 - 0.65)</f>
        <v>0</v>
      </c>
      <c r="S11" s="20">
        <f>('TE BE'!$U$11+'TE BF'!$U$11+'TE CVA'!$U$11)*(1 - 0.65)</f>
        <v>0</v>
      </c>
      <c r="T11" s="20">
        <f>('TE BE'!$V$11+'TE BF'!$V$11+'TE CVA'!$V$11)*(1 - 0.65)</f>
        <v>0</v>
      </c>
      <c r="U11" s="20">
        <f>('TE BE'!$X$11+'TE BF'!$X$11+'TE CVA'!$X$11)*(1 - 0.65)</f>
        <v>-2.129234234172015</v>
      </c>
      <c r="V11" s="20">
        <f>('TE BE'!$Z$11+'TE BF'!$Z$11+'TE CVA'!$Z$11)*(1 - 0.65)</f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84.480729227344597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</row>
    <row r="12" spans="1:34" ht="11.25" customHeight="1" x14ac:dyDescent="0.25">
      <c r="A12" s="112"/>
      <c r="B12" s="112"/>
      <c r="C12" s="112"/>
      <c r="D12" s="23" t="s">
        <v>28</v>
      </c>
      <c r="E12" s="23" t="s">
        <v>25</v>
      </c>
      <c r="F12" s="23" t="s">
        <v>25</v>
      </c>
      <c r="G12" s="22" t="s">
        <v>69</v>
      </c>
      <c r="H12" s="22" t="s">
        <v>63</v>
      </c>
      <c r="I12" s="22">
        <f>'MERCADO TE'!$U$9</f>
        <v>4.8120000000000003</v>
      </c>
      <c r="J12" s="15"/>
      <c r="L12" s="20">
        <f>('TE BE'!$L$12+'TE BF'!$L$12+'TE CVA'!$L$12)*(1 - 0.4)</f>
        <v>0</v>
      </c>
      <c r="M12" s="20">
        <f>('TE BE'!$M$12+'TE BF'!$M$12+'TE CVA'!$M$12)*(1 - 0.4)</f>
        <v>0</v>
      </c>
      <c r="N12" s="20">
        <f>('TE BE'!$N$12+'TE BF'!$N$12+'TE CVA'!$N$12)*(1 - 0.4)</f>
        <v>0</v>
      </c>
      <c r="O12" s="20">
        <f>('TE BE'!$O$12+'TE BF'!$O$12+'TE CVA'!$O$12)*(1 - 0.4)</f>
        <v>0</v>
      </c>
      <c r="P12" s="20">
        <f>('TE BE'!$P$12+'TE BF'!$P$12+'TE CVA'!$P$12)*(1 - 0.4)</f>
        <v>0</v>
      </c>
      <c r="Q12" s="20">
        <f>('TE BE'!$R$12+'TE BF'!$R$12+'TE CVA'!$R$12)*(1 - 0.4)</f>
        <v>147.59680952362572</v>
      </c>
      <c r="R12" s="20">
        <f>('TE BE'!$T$12+'TE BF'!$T$12+'TE CVA'!$T$12)*(1 - 0.4)</f>
        <v>0</v>
      </c>
      <c r="S12" s="20">
        <f>('TE BE'!$U$12+'TE BF'!$U$12+'TE CVA'!$U$12)*(1 - 0.4)</f>
        <v>0</v>
      </c>
      <c r="T12" s="20">
        <f>('TE BE'!$V$12+'TE BF'!$V$12+'TE CVA'!$V$12)*(1 - 0.4)</f>
        <v>0</v>
      </c>
      <c r="U12" s="20">
        <f>('TE BE'!$X$12+'TE BF'!$X$12+'TE CVA'!$X$12)*(1 - 0.4)</f>
        <v>-3.6501158300091689</v>
      </c>
      <c r="V12" s="20">
        <f>('TE BE'!$Z$12+'TE BF'!$Z$12+'TE CVA'!$Z$12)*(1 - 0.4)</f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144.824107246876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11.25" customHeight="1" x14ac:dyDescent="0.25">
      <c r="A13" s="112"/>
      <c r="B13" s="112"/>
      <c r="C13" s="112"/>
      <c r="D13" s="23" t="s">
        <v>29</v>
      </c>
      <c r="E13" s="23" t="s">
        <v>25</v>
      </c>
      <c r="F13" s="23" t="s">
        <v>25</v>
      </c>
      <c r="G13" s="22" t="s">
        <v>69</v>
      </c>
      <c r="H13" s="22" t="s">
        <v>63</v>
      </c>
      <c r="I13" s="22">
        <f>'MERCADO TE'!$U$10</f>
        <v>0.12</v>
      </c>
      <c r="J13" s="15"/>
      <c r="L13" s="20">
        <f>('TE BE'!$L$13+'TE BF'!$L$13+'TE CVA'!$L$13)*(1 - 0.1)</f>
        <v>0</v>
      </c>
      <c r="M13" s="20">
        <f>('TE BE'!$M$13+'TE BF'!$M$13+'TE CVA'!$M$13)*(1 - 0.1)</f>
        <v>0</v>
      </c>
      <c r="N13" s="20">
        <f>('TE BE'!$N$13+'TE BF'!$N$13+'TE CVA'!$N$13)*(1 - 0.1)</f>
        <v>0</v>
      </c>
      <c r="O13" s="20">
        <f>('TE BE'!$O$13+'TE BF'!$O$13+'TE CVA'!$O$13)*(1 - 0.1)</f>
        <v>0</v>
      </c>
      <c r="P13" s="20">
        <f>('TE BE'!$P$13+'TE BF'!$P$13+'TE CVA'!$P$13)*(1 - 0.1)</f>
        <v>0</v>
      </c>
      <c r="Q13" s="20">
        <f>('TE BE'!$R$13+'TE BF'!$R$13+'TE CVA'!$R$13)*(1 - 0.1)</f>
        <v>221.39521428543858</v>
      </c>
      <c r="R13" s="20">
        <f>('TE BE'!$T$13+'TE BF'!$T$13+'TE CVA'!$T$13)*(1 - 0.1)</f>
        <v>0</v>
      </c>
      <c r="S13" s="20">
        <f>('TE BE'!$U$13+'TE BF'!$U$13+'TE CVA'!$U$13)*(1 - 0.1)</f>
        <v>0</v>
      </c>
      <c r="T13" s="20">
        <f>('TE BE'!$V$13+'TE BF'!$V$13+'TE CVA'!$V$13)*(1 - 0.1)</f>
        <v>0</v>
      </c>
      <c r="U13" s="20">
        <f>('TE BE'!$X$13+'TE BF'!$X$13+'TE CVA'!$X$13)*(1 - 0.1)</f>
        <v>-5.4751737450137536</v>
      </c>
      <c r="V13" s="20">
        <f>('TE BE'!$Z$13+'TE BF'!$Z$13+'TE CVA'!$Z$13)*(1 - 0.1)</f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217.23616087031499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</row>
    <row r="14" spans="1:34" ht="11.25" customHeight="1" x14ac:dyDescent="0.25">
      <c r="A14" s="112"/>
      <c r="B14" s="112"/>
      <c r="C14" s="112"/>
      <c r="D14" s="23" t="s">
        <v>30</v>
      </c>
      <c r="E14" s="23" t="s">
        <v>25</v>
      </c>
      <c r="F14" s="23" t="s">
        <v>25</v>
      </c>
      <c r="G14" s="22" t="s">
        <v>69</v>
      </c>
      <c r="H14" s="22" t="s">
        <v>63</v>
      </c>
      <c r="I14" s="22">
        <f>'MERCADO TE'!$U$11</f>
        <v>0.31900000000000001</v>
      </c>
      <c r="J14" s="15"/>
      <c r="L14" s="20">
        <f>('TE BE'!$L$14+'TE BF'!$L$14+'TE CVA'!$L$14)*1</f>
        <v>0</v>
      </c>
      <c r="M14" s="20">
        <f>('TE BE'!$M$14+'TE BF'!$M$14+'TE CVA'!$M$14)*1</f>
        <v>0</v>
      </c>
      <c r="N14" s="20">
        <f>('TE BE'!$N$14+'TE BF'!$N$14+'TE CVA'!$N$14)*1</f>
        <v>0</v>
      </c>
      <c r="O14" s="20">
        <f>('TE BE'!$O$14+'TE BF'!$O$14+'TE CVA'!$O$14)*1</f>
        <v>0</v>
      </c>
      <c r="P14" s="20">
        <f>('TE BE'!$P$14+'TE BF'!$P$14+'TE CVA'!$P$14)*1</f>
        <v>0</v>
      </c>
      <c r="Q14" s="20">
        <f>('TE BE'!$R$14+'TE BF'!$R$14+'TE CVA'!$R$14)*1</f>
        <v>245.99468253937621</v>
      </c>
      <c r="R14" s="20">
        <f>('TE BE'!$T$14+'TE BF'!$T$14+'TE CVA'!$T$14)*1</f>
        <v>0</v>
      </c>
      <c r="S14" s="20">
        <f>('TE BE'!$U$14+'TE BF'!$U$14+'TE CVA'!$U$14)*1</f>
        <v>0</v>
      </c>
      <c r="T14" s="20">
        <f>('TE BE'!$V$14+'TE BF'!$V$14+'TE CVA'!$V$14)*1</f>
        <v>0</v>
      </c>
      <c r="U14" s="20">
        <f>('TE BE'!$X$14+'TE BF'!$X$14+'TE CVA'!$X$14)*1</f>
        <v>-6.0835263833486151</v>
      </c>
      <c r="V14" s="20">
        <f>('TE BE'!$Z$14+'TE BF'!$Z$14+'TE CVA'!$Z$14)*1</f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241.37351207812699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</row>
    <row r="15" spans="1:34" ht="11.25" customHeight="1" x14ac:dyDescent="0.25">
      <c r="A15" s="112"/>
      <c r="B15" s="112" t="s">
        <v>78</v>
      </c>
      <c r="C15" s="112" t="s">
        <v>24</v>
      </c>
      <c r="D15" s="23" t="s">
        <v>24</v>
      </c>
      <c r="E15" s="23" t="s">
        <v>25</v>
      </c>
      <c r="F15" s="23" t="s">
        <v>25</v>
      </c>
      <c r="G15" s="22" t="s">
        <v>69</v>
      </c>
      <c r="H15" s="22" t="s">
        <v>63</v>
      </c>
      <c r="I15" s="22">
        <f>'MERCADO TE'!$U$12</f>
        <v>0</v>
      </c>
      <c r="J15" s="15"/>
      <c r="L15" s="20">
        <f>('TE BE'!$L$15+'TE BF'!$L$15+'TE CVA'!$L$15)*1</f>
        <v>0</v>
      </c>
      <c r="M15" s="20">
        <f>('TE BE'!$M$15+'TE BF'!$M$15+'TE CVA'!$M$15)*1</f>
        <v>0</v>
      </c>
      <c r="N15" s="20">
        <f>('TE BE'!$N$15+'TE BF'!$N$15+'TE CVA'!$N$15)*1</f>
        <v>0</v>
      </c>
      <c r="O15" s="20">
        <f>('TE BE'!$O$15+'TE BF'!$O$15+'TE CVA'!$O$15)*1</f>
        <v>0</v>
      </c>
      <c r="P15" s="20">
        <f>('TE BE'!$P$15+'TE BF'!$P$15+'TE CVA'!$P$15)*1</f>
        <v>0</v>
      </c>
      <c r="Q15" s="20">
        <f>('TE BE'!$R$15+'TE BF'!$R$15+'TE CVA'!$R$15)*1</f>
        <v>245.99468253937621</v>
      </c>
      <c r="R15" s="20">
        <f>('TE BE'!$T$15+'TE BF'!$T$15+'TE CVA'!$T$15)*1</f>
        <v>0</v>
      </c>
      <c r="S15" s="20">
        <f>('TE BE'!$U$15+'TE BF'!$U$15+'TE CVA'!$U$15)*1</f>
        <v>0</v>
      </c>
      <c r="T15" s="20">
        <f>('TE BE'!$V$15+'TE BF'!$V$15+'TE CVA'!$V$15)*1</f>
        <v>0</v>
      </c>
      <c r="U15" s="20">
        <f>('TE BE'!$X$15+'TE BF'!$X$15+'TE CVA'!$X$15)*1</f>
        <v>-6.0835263833486151</v>
      </c>
      <c r="V15" s="20">
        <f>('TE BE'!$Z$15+'TE BF'!$Z$15+'TE CVA'!$Z$15)*1</f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241.37351207812699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</row>
    <row r="16" spans="1:34" ht="11.25" customHeight="1" x14ac:dyDescent="0.25">
      <c r="A16" s="112"/>
      <c r="B16" s="112"/>
      <c r="C16" s="112"/>
      <c r="D16" s="23" t="s">
        <v>27</v>
      </c>
      <c r="E16" s="23" t="s">
        <v>25</v>
      </c>
      <c r="F16" s="23" t="s">
        <v>25</v>
      </c>
      <c r="G16" s="22" t="s">
        <v>69</v>
      </c>
      <c r="H16" s="22" t="s">
        <v>63</v>
      </c>
      <c r="I16" s="22">
        <f>'MERCADO TE'!$U$13</f>
        <v>0</v>
      </c>
      <c r="J16" s="15"/>
      <c r="L16" s="20">
        <f>('TE BE'!$L$16+'TE BF'!$L$16+'TE CVA'!$L$16)*(1 - 0.65)</f>
        <v>0</v>
      </c>
      <c r="M16" s="20">
        <f>('TE BE'!$M$16+'TE BF'!$M$16+'TE CVA'!$M$16)*(1 - 0.65)</f>
        <v>0</v>
      </c>
      <c r="N16" s="20">
        <f>('TE BE'!$N$16+'TE BF'!$N$16+'TE CVA'!$N$16)*(1 - 0.65)</f>
        <v>0</v>
      </c>
      <c r="O16" s="20">
        <f>('TE BE'!$O$16+'TE BF'!$O$16+'TE CVA'!$O$16)*(1 - 0.65)</f>
        <v>0</v>
      </c>
      <c r="P16" s="20">
        <f>('TE BE'!$P$16+'TE BF'!$P$16+'TE CVA'!$P$16)*(1 - 0.65)</f>
        <v>0</v>
      </c>
      <c r="Q16" s="20">
        <f>('TE BE'!$R$16+'TE BF'!$R$16+'TE CVA'!$R$16)*(1 - 0.65)</f>
        <v>86.098138888781676</v>
      </c>
      <c r="R16" s="20">
        <f>('TE BE'!$T$16+'TE BF'!$T$16+'TE CVA'!$T$16)*(1 - 0.65)</f>
        <v>0</v>
      </c>
      <c r="S16" s="20">
        <f>('TE BE'!$U$16+'TE BF'!$U$16+'TE CVA'!$U$16)*(1 - 0.65)</f>
        <v>0</v>
      </c>
      <c r="T16" s="20">
        <f>('TE BE'!$V$16+'TE BF'!$V$16+'TE CVA'!$V$16)*(1 - 0.65)</f>
        <v>0</v>
      </c>
      <c r="U16" s="20">
        <f>('TE BE'!$X$16+'TE BF'!$X$16+'TE CVA'!$X$16)*(1 - 0.65)</f>
        <v>-2.129234234172015</v>
      </c>
      <c r="V16" s="20">
        <f>('TE BE'!$Z$16+'TE BF'!$Z$16+'TE CVA'!$Z$16)*(1 - 0.65)</f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84.480729227344597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</row>
    <row r="17" spans="1:34" ht="11.25" customHeight="1" x14ac:dyDescent="0.25">
      <c r="A17" s="112"/>
      <c r="B17" s="112"/>
      <c r="C17" s="112"/>
      <c r="D17" s="23" t="s">
        <v>28</v>
      </c>
      <c r="E17" s="23" t="s">
        <v>25</v>
      </c>
      <c r="F17" s="23" t="s">
        <v>25</v>
      </c>
      <c r="G17" s="22" t="s">
        <v>69</v>
      </c>
      <c r="H17" s="22" t="s">
        <v>63</v>
      </c>
      <c r="I17" s="22">
        <f>'MERCADO TE'!$U$14</f>
        <v>0</v>
      </c>
      <c r="J17" s="15"/>
      <c r="L17" s="20">
        <f>('TE BE'!$L$17+'TE BF'!$L$17+'TE CVA'!$L$17)*(1 - 0.4)</f>
        <v>0</v>
      </c>
      <c r="M17" s="20">
        <f>('TE BE'!$M$17+'TE BF'!$M$17+'TE CVA'!$M$17)*(1 - 0.4)</f>
        <v>0</v>
      </c>
      <c r="N17" s="20">
        <f>('TE BE'!$N$17+'TE BF'!$N$17+'TE CVA'!$N$17)*(1 - 0.4)</f>
        <v>0</v>
      </c>
      <c r="O17" s="20">
        <f>('TE BE'!$O$17+'TE BF'!$O$17+'TE CVA'!$O$17)*(1 - 0.4)</f>
        <v>0</v>
      </c>
      <c r="P17" s="20">
        <f>('TE BE'!$P$17+'TE BF'!$P$17+'TE CVA'!$P$17)*(1 - 0.4)</f>
        <v>0</v>
      </c>
      <c r="Q17" s="20">
        <f>('TE BE'!$R$17+'TE BF'!$R$17+'TE CVA'!$R$17)*(1 - 0.4)</f>
        <v>147.59680952362572</v>
      </c>
      <c r="R17" s="20">
        <f>('TE BE'!$T$17+'TE BF'!$T$17+'TE CVA'!$T$17)*(1 - 0.4)</f>
        <v>0</v>
      </c>
      <c r="S17" s="20">
        <f>('TE BE'!$U$17+'TE BF'!$U$17+'TE CVA'!$U$17)*(1 - 0.4)</f>
        <v>0</v>
      </c>
      <c r="T17" s="20">
        <f>('TE BE'!$V$17+'TE BF'!$V$17+'TE CVA'!$V$17)*(1 - 0.4)</f>
        <v>0</v>
      </c>
      <c r="U17" s="20">
        <f>('TE BE'!$X$17+'TE BF'!$X$17+'TE CVA'!$X$17)*(1 - 0.4)</f>
        <v>-3.6501158300091689</v>
      </c>
      <c r="V17" s="20">
        <f>('TE BE'!$Z$17+'TE BF'!$Z$17+'TE CVA'!$Z$17)*(1 - 0.4)</f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144.824107246876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1:34" ht="11.25" customHeight="1" x14ac:dyDescent="0.25">
      <c r="A18" s="112"/>
      <c r="B18" s="112"/>
      <c r="C18" s="112"/>
      <c r="D18" s="23" t="s">
        <v>29</v>
      </c>
      <c r="E18" s="23" t="s">
        <v>25</v>
      </c>
      <c r="F18" s="23" t="s">
        <v>25</v>
      </c>
      <c r="G18" s="22" t="s">
        <v>69</v>
      </c>
      <c r="H18" s="22" t="s">
        <v>63</v>
      </c>
      <c r="I18" s="22">
        <f>'MERCADO TE'!$U$15</f>
        <v>0</v>
      </c>
      <c r="J18" s="15"/>
      <c r="L18" s="20">
        <f>('TE BE'!$L$18+'TE BF'!$L$18+'TE CVA'!$L$18)*(1 - 0.1)</f>
        <v>0</v>
      </c>
      <c r="M18" s="20">
        <f>('TE BE'!$M$18+'TE BF'!$M$18+'TE CVA'!$M$18)*(1 - 0.1)</f>
        <v>0</v>
      </c>
      <c r="N18" s="20">
        <f>('TE BE'!$N$18+'TE BF'!$N$18+'TE CVA'!$N$18)*(1 - 0.1)</f>
        <v>0</v>
      </c>
      <c r="O18" s="20">
        <f>('TE BE'!$O$18+'TE BF'!$O$18+'TE CVA'!$O$18)*(1 - 0.1)</f>
        <v>0</v>
      </c>
      <c r="P18" s="20">
        <f>('TE BE'!$P$18+'TE BF'!$P$18+'TE CVA'!$P$18)*(1 - 0.1)</f>
        <v>0</v>
      </c>
      <c r="Q18" s="20">
        <f>('TE BE'!$R$18+'TE BF'!$R$18+'TE CVA'!$R$18)*(1 - 0.1)</f>
        <v>221.39521428543858</v>
      </c>
      <c r="R18" s="20">
        <f>('TE BE'!$T$18+'TE BF'!$T$18+'TE CVA'!$T$18)*(1 - 0.1)</f>
        <v>0</v>
      </c>
      <c r="S18" s="20">
        <f>('TE BE'!$U$18+'TE BF'!$U$18+'TE CVA'!$U$18)*(1 - 0.1)</f>
        <v>0</v>
      </c>
      <c r="T18" s="20">
        <f>('TE BE'!$V$18+'TE BF'!$V$18+'TE CVA'!$V$18)*(1 - 0.1)</f>
        <v>0</v>
      </c>
      <c r="U18" s="20">
        <f>('TE BE'!$X$18+'TE BF'!$X$18+'TE CVA'!$X$18)*(1 - 0.1)</f>
        <v>-5.4751737450137536</v>
      </c>
      <c r="V18" s="20">
        <f>('TE BE'!$Z$18+'TE BF'!$Z$18+'TE CVA'!$Z$18)*(1 - 0.1)</f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217.23616087031499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</row>
    <row r="19" spans="1:34" ht="11.25" customHeight="1" x14ac:dyDescent="0.25">
      <c r="A19" s="112"/>
      <c r="B19" s="112"/>
      <c r="C19" s="112"/>
      <c r="D19" s="23" t="s">
        <v>30</v>
      </c>
      <c r="E19" s="23" t="s">
        <v>25</v>
      </c>
      <c r="F19" s="23" t="s">
        <v>25</v>
      </c>
      <c r="G19" s="22" t="s">
        <v>69</v>
      </c>
      <c r="H19" s="22" t="s">
        <v>63</v>
      </c>
      <c r="I19" s="22">
        <f>'MERCADO TE'!$U$16</f>
        <v>0</v>
      </c>
      <c r="J19" s="15"/>
      <c r="L19" s="20">
        <f>('TE BE'!$L$19+'TE BF'!$L$19+'TE CVA'!$L$19)*1</f>
        <v>0</v>
      </c>
      <c r="M19" s="20">
        <f>('TE BE'!$M$19+'TE BF'!$M$19+'TE CVA'!$M$19)*1</f>
        <v>0</v>
      </c>
      <c r="N19" s="20">
        <f>('TE BE'!$N$19+'TE BF'!$N$19+'TE CVA'!$N$19)*1</f>
        <v>0</v>
      </c>
      <c r="O19" s="20">
        <f>('TE BE'!$O$19+'TE BF'!$O$19+'TE CVA'!$O$19)*1</f>
        <v>0</v>
      </c>
      <c r="P19" s="20">
        <f>('TE BE'!$P$19+'TE BF'!$P$19+'TE CVA'!$P$19)*1</f>
        <v>0</v>
      </c>
      <c r="Q19" s="20">
        <f>('TE BE'!$R$19+'TE BF'!$R$19+'TE CVA'!$R$19)*1</f>
        <v>245.99468253937621</v>
      </c>
      <c r="R19" s="20">
        <f>('TE BE'!$T$19+'TE BF'!$T$19+'TE CVA'!$T$19)*1</f>
        <v>0</v>
      </c>
      <c r="S19" s="20">
        <f>('TE BE'!$U$19+'TE BF'!$U$19+'TE CVA'!$U$19)*1</f>
        <v>0</v>
      </c>
      <c r="T19" s="20">
        <f>('TE BE'!$V$19+'TE BF'!$V$19+'TE CVA'!$V$19)*1</f>
        <v>0</v>
      </c>
      <c r="U19" s="20">
        <f>('TE BE'!$X$19+'TE BF'!$X$19+'TE CVA'!$X$19)*1</f>
        <v>-6.0835263833486151</v>
      </c>
      <c r="V19" s="20">
        <f>('TE BE'!$Z$19+'TE BF'!$Z$19+'TE CVA'!$Z$19)*1</f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241.37351207812699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1:34" ht="11.25" customHeight="1" x14ac:dyDescent="0.25">
      <c r="A20" s="112" t="s">
        <v>39</v>
      </c>
      <c r="B20" s="112" t="s">
        <v>62</v>
      </c>
      <c r="C20" s="112" t="s">
        <v>40</v>
      </c>
      <c r="D20" s="112" t="s">
        <v>25</v>
      </c>
      <c r="E20" s="112" t="s">
        <v>25</v>
      </c>
      <c r="F20" s="112" t="s">
        <v>25</v>
      </c>
      <c r="G20" s="22" t="s">
        <v>64</v>
      </c>
      <c r="H20" s="22" t="s">
        <v>63</v>
      </c>
      <c r="I20" s="22">
        <f>'MERCADO TE'!$U$17</f>
        <v>0</v>
      </c>
      <c r="J20" s="15"/>
      <c r="L20" s="20">
        <f>('TE BE'!$L$20+'TE BF'!$L$20+'TE CVA'!$L$20)*(1 - CUSTOS!$M$38)</f>
        <v>0</v>
      </c>
      <c r="M20" s="20">
        <f>('TE BE'!$M$20+'TE BF'!$M$20+'TE CVA'!$M$20)*(1 - CUSTOS!$M$38)</f>
        <v>0</v>
      </c>
      <c r="N20" s="20">
        <f>('TE BE'!$N$20+'TE BF'!$N$20+'TE CVA'!$N$20)*(1 - CUSTOS!$M$38)</f>
        <v>0</v>
      </c>
      <c r="O20" s="20">
        <f>('TE BE'!$O$20+'TE BF'!$O$20+'TE CVA'!$O$20)*(1 - CUSTOS!$M$38)</f>
        <v>0</v>
      </c>
      <c r="P20" s="20">
        <f>('TE BE'!$P$20+'TE BF'!$P$20+'TE CVA'!$P$20)*(1 - CUSTOS!$M$38)</f>
        <v>0</v>
      </c>
      <c r="Q20" s="20">
        <f>('TE BE'!$R$20+'TE BF'!$R$20+'TE CVA'!$R$20)*(1 - CUSTOS!$M$38)</f>
        <v>231.23500158701364</v>
      </c>
      <c r="R20" s="20">
        <f>('TE BE'!$T$20+'TE BF'!$T$20+'TE CVA'!$T$20)*(1 - CUSTOS!$M$38)</f>
        <v>0</v>
      </c>
      <c r="S20" s="20">
        <f>('TE BE'!$U$20+'TE BF'!$U$20+'TE CVA'!$U$20)*(1 - CUSTOS!$M$38)</f>
        <v>0</v>
      </c>
      <c r="T20" s="20">
        <f>('TE BE'!$V$20+'TE BF'!$V$20+'TE CVA'!$V$20)*(1 - CUSTOS!$M$38)</f>
        <v>0</v>
      </c>
      <c r="U20" s="20">
        <f>('TE BE'!$X$20+'TE BF'!$X$20+'TE CVA'!$X$20)*(1 - CUSTOS!$M$38)</f>
        <v>-5.7185148003476982</v>
      </c>
      <c r="V20" s="20">
        <f>('TE BE'!$Z$20+'TE BF'!$Z$20+'TE CVA'!$Z$20)*(1 - CUSTOS!$M$38)</f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212.408690628752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</row>
    <row r="21" spans="1:34" ht="11.25" customHeight="1" x14ac:dyDescent="0.25">
      <c r="A21" s="112"/>
      <c r="B21" s="112"/>
      <c r="C21" s="112"/>
      <c r="D21" s="112"/>
      <c r="E21" s="112"/>
      <c r="F21" s="112"/>
      <c r="G21" s="22" t="s">
        <v>75</v>
      </c>
      <c r="H21" s="22" t="s">
        <v>63</v>
      </c>
      <c r="I21" s="22">
        <f>'MERCADO TE'!$U$18</f>
        <v>0</v>
      </c>
      <c r="J21" s="15"/>
      <c r="L21" s="20">
        <f>('TE BE'!$L$21+'TE BF'!$L$21+'TE CVA'!$L$21)*(1 - CUSTOS!$M$38)</f>
        <v>0</v>
      </c>
      <c r="M21" s="20">
        <f>('TE BE'!$M$21+'TE BF'!$M$21+'TE CVA'!$M$21)*(1 - CUSTOS!$M$38)</f>
        <v>0</v>
      </c>
      <c r="N21" s="20">
        <f>('TE BE'!$N$21+'TE BF'!$N$21+'TE CVA'!$N$21)*(1 - CUSTOS!$M$38)</f>
        <v>0</v>
      </c>
      <c r="O21" s="20">
        <f>('TE BE'!$O$21+'TE BF'!$O$21+'TE CVA'!$O$21)*(1 - CUSTOS!$M$38)</f>
        <v>0</v>
      </c>
      <c r="P21" s="20">
        <f>('TE BE'!$P$21+'TE BF'!$P$21+'TE CVA'!$P$21)*(1 - CUSTOS!$M$38)</f>
        <v>0</v>
      </c>
      <c r="Q21" s="20">
        <f>('TE BE'!$R$21+'TE BF'!$R$21+'TE CVA'!$R$21)*(1 - CUSTOS!$M$38)</f>
        <v>231.23500158701364</v>
      </c>
      <c r="R21" s="20">
        <f>('TE BE'!$T$21+'TE BF'!$T$21+'TE CVA'!$T$21)*(1 - CUSTOS!$M$38)</f>
        <v>0</v>
      </c>
      <c r="S21" s="20">
        <f>('TE BE'!$U$21+'TE BF'!$U$21+'TE CVA'!$U$21)*(1 - CUSTOS!$M$38)</f>
        <v>0</v>
      </c>
      <c r="T21" s="20">
        <f>('TE BE'!$V$21+'TE BF'!$V$21+'TE CVA'!$V$21)*(1 - CUSTOS!$M$38)</f>
        <v>0</v>
      </c>
      <c r="U21" s="20">
        <f>('TE BE'!$X$21+'TE BF'!$X$21+'TE CVA'!$X$21)*(1 - CUSTOS!$M$38)</f>
        <v>-5.7185148003476982</v>
      </c>
      <c r="V21" s="20">
        <f>('TE BE'!$Z$21+'TE BF'!$Z$21+'TE CVA'!$Z$21)*(1 - CUSTOS!$M$38)</f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212.408690628752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1:34" ht="11.25" customHeight="1" x14ac:dyDescent="0.25">
      <c r="A22" s="112"/>
      <c r="B22" s="112"/>
      <c r="C22" s="112"/>
      <c r="D22" s="112"/>
      <c r="E22" s="112"/>
      <c r="F22" s="112"/>
      <c r="G22" s="22" t="s">
        <v>65</v>
      </c>
      <c r="H22" s="22" t="s">
        <v>63</v>
      </c>
      <c r="I22" s="22">
        <f>'MERCADO TE'!$U$19</f>
        <v>0</v>
      </c>
      <c r="J22" s="15"/>
      <c r="L22" s="20">
        <f>('TE BE'!$L$22+'TE BF'!$L$22+'TE CVA'!$L$22)*(1 - CUSTOS!$M$38)</f>
        <v>0</v>
      </c>
      <c r="M22" s="20">
        <f>('TE BE'!$M$22+'TE BF'!$M$22+'TE CVA'!$M$22)*(1 - CUSTOS!$M$38)</f>
        <v>0</v>
      </c>
      <c r="N22" s="20">
        <f>('TE BE'!$N$22+'TE BF'!$N$22+'TE CVA'!$N$22)*(1 - CUSTOS!$M$38)</f>
        <v>0</v>
      </c>
      <c r="O22" s="20">
        <f>('TE BE'!$O$22+'TE BF'!$O$22+'TE CVA'!$O$22)*(1 - CUSTOS!$M$38)</f>
        <v>0</v>
      </c>
      <c r="P22" s="20">
        <f>('TE BE'!$P$22+'TE BF'!$P$22+'TE CVA'!$P$22)*(1 - CUSTOS!$M$38)</f>
        <v>0</v>
      </c>
      <c r="Q22" s="20">
        <f>('TE BE'!$R$22+'TE BF'!$R$22+'TE CVA'!$R$22)*(1 - CUSTOS!$M$38)</f>
        <v>231.23500158701364</v>
      </c>
      <c r="R22" s="20">
        <f>('TE BE'!$T$22+'TE BF'!$T$22+'TE CVA'!$T$22)*(1 - CUSTOS!$M$38)</f>
        <v>0</v>
      </c>
      <c r="S22" s="20">
        <f>('TE BE'!$U$22+'TE BF'!$U$22+'TE CVA'!$U$22)*(1 - CUSTOS!$M$38)</f>
        <v>0</v>
      </c>
      <c r="T22" s="20">
        <f>('TE BE'!$V$22+'TE BF'!$V$22+'TE CVA'!$V$22)*(1 - CUSTOS!$M$38)</f>
        <v>0</v>
      </c>
      <c r="U22" s="20">
        <f>('TE BE'!$X$22+'TE BF'!$X$22+'TE CVA'!$X$22)*(1 - CUSTOS!$M$38)</f>
        <v>-5.7185148003476982</v>
      </c>
      <c r="V22" s="20">
        <f>('TE BE'!$Z$22+'TE BF'!$Z$22+'TE CVA'!$Z$22)*(1 - CUSTOS!$M$38)</f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212.408690628752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</row>
    <row r="23" spans="1:34" ht="11.25" customHeight="1" x14ac:dyDescent="0.25">
      <c r="A23" s="112"/>
      <c r="B23" s="23" t="s">
        <v>76</v>
      </c>
      <c r="C23" s="23" t="s">
        <v>40</v>
      </c>
      <c r="D23" s="23" t="s">
        <v>25</v>
      </c>
      <c r="E23" s="23" t="s">
        <v>25</v>
      </c>
      <c r="F23" s="23" t="s">
        <v>25</v>
      </c>
      <c r="G23" s="22" t="s">
        <v>69</v>
      </c>
      <c r="H23" s="22" t="s">
        <v>63</v>
      </c>
      <c r="I23" s="22">
        <f>'MERCADO TE'!$U$20</f>
        <v>668.58</v>
      </c>
      <c r="J23" s="15"/>
      <c r="L23" s="20">
        <f>('TE BE'!$L$23+'TE BF'!$L$23+'TE CVA'!$L$23)*(1 - CUSTOS!$M$38)</f>
        <v>0</v>
      </c>
      <c r="M23" s="20">
        <f>('TE BE'!$M$23+'TE BF'!$M$23+'TE CVA'!$M$23)*(1 - CUSTOS!$M$38)</f>
        <v>0</v>
      </c>
      <c r="N23" s="20">
        <f>('TE BE'!$N$23+'TE BF'!$N$23+'TE CVA'!$N$23)*(1 - CUSTOS!$M$38)</f>
        <v>0</v>
      </c>
      <c r="O23" s="20">
        <f>('TE BE'!$O$23+'TE BF'!$O$23+'TE CVA'!$O$23)*(1 - CUSTOS!$M$38)</f>
        <v>0</v>
      </c>
      <c r="P23" s="20">
        <f>('TE BE'!$P$23+'TE BF'!$P$23+'TE CVA'!$P$23)*(1 - CUSTOS!$M$38)</f>
        <v>0</v>
      </c>
      <c r="Q23" s="20">
        <f>('TE BE'!$R$23+'TE BF'!$R$23+'TE CVA'!$R$23)*(1 - CUSTOS!$M$38)</f>
        <v>231.23500158701364</v>
      </c>
      <c r="R23" s="20">
        <f>('TE BE'!$T$23+'TE BF'!$T$23+'TE CVA'!$T$23)*(1 - CUSTOS!$M$38)</f>
        <v>0</v>
      </c>
      <c r="S23" s="20">
        <f>('TE BE'!$U$23+'TE BF'!$U$23+'TE CVA'!$U$23)*(1 - CUSTOS!$M$38)</f>
        <v>0</v>
      </c>
      <c r="T23" s="20">
        <f>('TE BE'!$V$23+'TE BF'!$V$23+'TE CVA'!$V$23)*(1 - CUSTOS!$M$38)</f>
        <v>0</v>
      </c>
      <c r="U23" s="20">
        <f>('TE BE'!$X$23+'TE BF'!$X$23+'TE CVA'!$X$23)*(1 - CUSTOS!$M$38)</f>
        <v>-5.7185148003476982</v>
      </c>
      <c r="V23" s="20">
        <f>('TE BE'!$Z$23+'TE BF'!$Z$23+'TE CVA'!$Z$23)*(1 - CUSTOS!$M$38)</f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212.408690628752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1:34" ht="11.25" customHeight="1" x14ac:dyDescent="0.25">
      <c r="A24" s="112"/>
      <c r="B24" s="112" t="s">
        <v>62</v>
      </c>
      <c r="C24" s="112" t="s">
        <v>40</v>
      </c>
      <c r="D24" s="112" t="s">
        <v>80</v>
      </c>
      <c r="E24" s="112" t="s">
        <v>25</v>
      </c>
      <c r="F24" s="112" t="s">
        <v>25</v>
      </c>
      <c r="G24" s="22" t="s">
        <v>64</v>
      </c>
      <c r="H24" s="22" t="s">
        <v>63</v>
      </c>
      <c r="I24" s="22">
        <f>'MERCADO TE'!$U$21</f>
        <v>0</v>
      </c>
      <c r="J24" s="15"/>
      <c r="L24" s="20">
        <f>('TE BE'!$L$24+'TE BF'!$L$24+'TE CVA'!$L$24)*(1 - CUSTOS!$M$39)</f>
        <v>0</v>
      </c>
      <c r="M24" s="20">
        <f>('TE BE'!$M$24+'TE BF'!$M$24+'TE CVA'!$M$24)*(1 - CUSTOS!$M$39)</f>
        <v>0</v>
      </c>
      <c r="N24" s="20">
        <f>('TE BE'!$N$24+'TE BF'!$N$24+'TE CVA'!$N$24)*(1 - CUSTOS!$M$39)</f>
        <v>0</v>
      </c>
      <c r="O24" s="20">
        <f>('TE BE'!$O$24+'TE BF'!$O$24+'TE CVA'!$O$24)*(1 - CUSTOS!$M$39)</f>
        <v>0</v>
      </c>
      <c r="P24" s="20">
        <f>('TE BE'!$P$24+'TE BF'!$P$24+'TE CVA'!$P$24)*(1 - CUSTOS!$M$39)</f>
        <v>0</v>
      </c>
      <c r="Q24" s="20">
        <f>('TE BE'!$R$24+'TE BF'!$R$24+'TE CVA'!$R$24)*(1 - CUSTOS!$M$39)</f>
        <v>231.23500158701364</v>
      </c>
      <c r="R24" s="20">
        <f>('TE BE'!$T$24+'TE BF'!$T$24+'TE CVA'!$T$24)*(1 - CUSTOS!$M$39)</f>
        <v>0</v>
      </c>
      <c r="S24" s="20">
        <f>('TE BE'!$U$24+'TE BF'!$U$24+'TE CVA'!$U$24)*(1 - CUSTOS!$M$39)</f>
        <v>0</v>
      </c>
      <c r="T24" s="20">
        <f>('TE BE'!$V$24+'TE BF'!$V$24+'TE CVA'!$V$24)*(1 - CUSTOS!$M$39)</f>
        <v>0</v>
      </c>
      <c r="U24" s="20">
        <f>('TE BE'!$X$24+'TE BF'!$X$24+'TE CVA'!$X$24)*(1 - CUSTOS!$M$39)</f>
        <v>-5.7185148003476982</v>
      </c>
      <c r="V24" s="20">
        <f>('TE BE'!$Z$24+'TE BF'!$Z$24+'TE CVA'!$Z$24)*(1 - CUSTOS!$M$39)</f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212.408690628752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</row>
    <row r="25" spans="1:34" ht="11.25" customHeight="1" x14ac:dyDescent="0.25">
      <c r="A25" s="112"/>
      <c r="B25" s="112"/>
      <c r="C25" s="112"/>
      <c r="D25" s="112"/>
      <c r="E25" s="112"/>
      <c r="F25" s="112"/>
      <c r="G25" s="22" t="s">
        <v>75</v>
      </c>
      <c r="H25" s="22" t="s">
        <v>63</v>
      </c>
      <c r="I25" s="22">
        <f>'MERCADO TE'!$U$22</f>
        <v>0</v>
      </c>
      <c r="J25" s="15"/>
      <c r="L25" s="20">
        <f>('TE BE'!$L$25+'TE BF'!$L$25+'TE CVA'!$L$25)*(1 - CUSTOS!$M$39)</f>
        <v>0</v>
      </c>
      <c r="M25" s="20">
        <f>('TE BE'!$M$25+'TE BF'!$M$25+'TE CVA'!$M$25)*(1 - CUSTOS!$M$39)</f>
        <v>0</v>
      </c>
      <c r="N25" s="20">
        <f>('TE BE'!$N$25+'TE BF'!$N$25+'TE CVA'!$N$25)*(1 - CUSTOS!$M$39)</f>
        <v>0</v>
      </c>
      <c r="O25" s="20">
        <f>('TE BE'!$O$25+'TE BF'!$O$25+'TE CVA'!$O$25)*(1 - CUSTOS!$M$39)</f>
        <v>0</v>
      </c>
      <c r="P25" s="20">
        <f>('TE BE'!$P$25+'TE BF'!$P$25+'TE CVA'!$P$25)*(1 - CUSTOS!$M$39)</f>
        <v>0</v>
      </c>
      <c r="Q25" s="20">
        <f>('TE BE'!$R$25+'TE BF'!$R$25+'TE CVA'!$R$25)*(1 - CUSTOS!$M$39)</f>
        <v>231.23500158701364</v>
      </c>
      <c r="R25" s="20">
        <f>('TE BE'!$T$25+'TE BF'!$T$25+'TE CVA'!$T$25)*(1 - CUSTOS!$M$39)</f>
        <v>0</v>
      </c>
      <c r="S25" s="20">
        <f>('TE BE'!$U$25+'TE BF'!$U$25+'TE CVA'!$U$25)*(1 - CUSTOS!$M$39)</f>
        <v>0</v>
      </c>
      <c r="T25" s="20">
        <f>('TE BE'!$V$25+'TE BF'!$V$25+'TE CVA'!$V$25)*(1 - CUSTOS!$M$39)</f>
        <v>0</v>
      </c>
      <c r="U25" s="20">
        <f>('TE BE'!$X$25+'TE BF'!$X$25+'TE CVA'!$X$25)*(1 - CUSTOS!$M$39)</f>
        <v>-5.7185148003476982</v>
      </c>
      <c r="V25" s="20">
        <f>('TE BE'!$Z$25+'TE BF'!$Z$25+'TE CVA'!$Z$25)*(1 - CUSTOS!$M$39)</f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212.408690628752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1:34" ht="11.25" customHeight="1" x14ac:dyDescent="0.25">
      <c r="A26" s="112"/>
      <c r="B26" s="112"/>
      <c r="C26" s="112"/>
      <c r="D26" s="112"/>
      <c r="E26" s="112"/>
      <c r="F26" s="112"/>
      <c r="G26" s="22" t="s">
        <v>65</v>
      </c>
      <c r="H26" s="22" t="s">
        <v>63</v>
      </c>
      <c r="I26" s="22">
        <f>'MERCADO TE'!$U$23</f>
        <v>0</v>
      </c>
      <c r="J26" s="15"/>
      <c r="L26" s="20">
        <f>('TE BE'!$L$26+'TE BF'!$L$26+'TE CVA'!$L$26)*(1 - CUSTOS!$M$39)</f>
        <v>0</v>
      </c>
      <c r="M26" s="20">
        <f>('TE BE'!$M$26+'TE BF'!$M$26+'TE CVA'!$M$26)*(1 - CUSTOS!$M$39)</f>
        <v>0</v>
      </c>
      <c r="N26" s="20">
        <f>('TE BE'!$N$26+'TE BF'!$N$26+'TE CVA'!$N$26)*(1 - CUSTOS!$M$39)</f>
        <v>0</v>
      </c>
      <c r="O26" s="20">
        <f>('TE BE'!$O$26+'TE BF'!$O$26+'TE CVA'!$O$26)*(1 - CUSTOS!$M$39)</f>
        <v>0</v>
      </c>
      <c r="P26" s="20">
        <f>('TE BE'!$P$26+'TE BF'!$P$26+'TE CVA'!$P$26)*(1 - CUSTOS!$M$39)</f>
        <v>0</v>
      </c>
      <c r="Q26" s="20">
        <f>('TE BE'!$R$26+'TE BF'!$R$26+'TE CVA'!$R$26)*(1 - CUSTOS!$M$39)</f>
        <v>231.23500158701364</v>
      </c>
      <c r="R26" s="20">
        <f>('TE BE'!$T$26+'TE BF'!$T$26+'TE CVA'!$T$26)*(1 - CUSTOS!$M$39)</f>
        <v>0</v>
      </c>
      <c r="S26" s="20">
        <f>('TE BE'!$U$26+'TE BF'!$U$26+'TE CVA'!$U$26)*(1 - CUSTOS!$M$39)</f>
        <v>0</v>
      </c>
      <c r="T26" s="20">
        <f>('TE BE'!$V$26+'TE BF'!$V$26+'TE CVA'!$V$26)*(1 - CUSTOS!$M$39)</f>
        <v>0</v>
      </c>
      <c r="U26" s="20">
        <f>('TE BE'!$X$26+'TE BF'!$X$26+'TE CVA'!$X$26)*(1 - CUSTOS!$M$39)</f>
        <v>-5.7185148003476982</v>
      </c>
      <c r="V26" s="20">
        <f>('TE BE'!$Z$26+'TE BF'!$Z$26+'TE CVA'!$Z$26)*(1 - CUSTOS!$M$39)</f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212.408690628752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</row>
    <row r="27" spans="1:34" ht="11.25" customHeight="1" x14ac:dyDescent="0.25">
      <c r="A27" s="112"/>
      <c r="B27" s="23" t="s">
        <v>76</v>
      </c>
      <c r="C27" s="23" t="s">
        <v>40</v>
      </c>
      <c r="D27" s="23" t="s">
        <v>80</v>
      </c>
      <c r="E27" s="23" t="s">
        <v>25</v>
      </c>
      <c r="F27" s="23" t="s">
        <v>25</v>
      </c>
      <c r="G27" s="22" t="s">
        <v>69</v>
      </c>
      <c r="H27" s="22" t="s">
        <v>63</v>
      </c>
      <c r="I27" s="22">
        <f>'MERCADO TE'!$U$24</f>
        <v>0</v>
      </c>
      <c r="J27" s="15"/>
      <c r="L27" s="20">
        <f>('TE BE'!$L$27+'TE BF'!$L$27+'TE CVA'!$L$27)*(1 - CUSTOS!$M$39)</f>
        <v>0</v>
      </c>
      <c r="M27" s="20">
        <f>('TE BE'!$M$27+'TE BF'!$M$27+'TE CVA'!$M$27)*(1 - CUSTOS!$M$39)</f>
        <v>0</v>
      </c>
      <c r="N27" s="20">
        <f>('TE BE'!$N$27+'TE BF'!$N$27+'TE CVA'!$N$27)*(1 - CUSTOS!$M$39)</f>
        <v>0</v>
      </c>
      <c r="O27" s="20">
        <f>('TE BE'!$O$27+'TE BF'!$O$27+'TE CVA'!$O$27)*(1 - CUSTOS!$M$39)</f>
        <v>0</v>
      </c>
      <c r="P27" s="20">
        <f>('TE BE'!$P$27+'TE BF'!$P$27+'TE CVA'!$P$27)*(1 - CUSTOS!$M$39)</f>
        <v>0</v>
      </c>
      <c r="Q27" s="20">
        <f>('TE BE'!$R$27+'TE BF'!$R$27+'TE CVA'!$R$27)*(1 - CUSTOS!$M$39)</f>
        <v>231.23500158701364</v>
      </c>
      <c r="R27" s="20">
        <f>('TE BE'!$T$27+'TE BF'!$T$27+'TE CVA'!$T$27)*(1 - CUSTOS!$M$39)</f>
        <v>0</v>
      </c>
      <c r="S27" s="20">
        <f>('TE BE'!$U$27+'TE BF'!$U$27+'TE CVA'!$U$27)*(1 - CUSTOS!$M$39)</f>
        <v>0</v>
      </c>
      <c r="T27" s="20">
        <f>('TE BE'!$V$27+'TE BF'!$V$27+'TE CVA'!$V$27)*(1 - CUSTOS!$M$39)</f>
        <v>0</v>
      </c>
      <c r="U27" s="20">
        <f>('TE BE'!$X$27+'TE BF'!$X$27+'TE CVA'!$X$27)*(1 - CUSTOS!$M$39)</f>
        <v>-5.7185148003476982</v>
      </c>
      <c r="V27" s="20">
        <f>('TE BE'!$Z$27+'TE BF'!$Z$27+'TE CVA'!$Z$27)*(1 - CUSTOS!$M$39)</f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212.408690628752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</row>
    <row r="28" spans="1:34" ht="11.25" customHeight="1" x14ac:dyDescent="0.25">
      <c r="A28" s="112"/>
      <c r="B28" s="112" t="s">
        <v>62</v>
      </c>
      <c r="C28" s="112" t="s">
        <v>40</v>
      </c>
      <c r="D28" s="112" t="s">
        <v>81</v>
      </c>
      <c r="E28" s="112" t="s">
        <v>25</v>
      </c>
      <c r="F28" s="112" t="s">
        <v>25</v>
      </c>
      <c r="G28" s="22" t="s">
        <v>64</v>
      </c>
      <c r="H28" s="22" t="s">
        <v>63</v>
      </c>
      <c r="I28" s="22">
        <f>'MERCADO TE'!$U$25</f>
        <v>0</v>
      </c>
      <c r="J28" s="15"/>
      <c r="L28" s="20">
        <f>('TE BE'!$L$28+'TE BF'!$L$28+'TE CVA'!$L$28)*(1 - CUSTOS!$M$40)</f>
        <v>0</v>
      </c>
      <c r="M28" s="20">
        <f>('TE BE'!$M$28+'TE BF'!$M$28+'TE CVA'!$M$28)*(1 - CUSTOS!$M$40)</f>
        <v>0</v>
      </c>
      <c r="N28" s="20">
        <f>('TE BE'!$N$28+'TE BF'!$N$28+'TE CVA'!$N$28)*(1 - CUSTOS!$M$40)</f>
        <v>0</v>
      </c>
      <c r="O28" s="20">
        <f>('TE BE'!$O$28+'TE BF'!$O$28+'TE CVA'!$O$28)*(1 - CUSTOS!$M$40)</f>
        <v>0</v>
      </c>
      <c r="P28" s="20">
        <f>('TE BE'!$P$28+'TE BF'!$P$28+'TE CVA'!$P$28)*(1 - CUSTOS!$M$40)</f>
        <v>0</v>
      </c>
      <c r="Q28" s="20">
        <f>('TE BE'!$R$28+'TE BF'!$R$28+'TE CVA'!$R$28)*(1 - CUSTOS!$M$40)</f>
        <v>226.31510793622613</v>
      </c>
      <c r="R28" s="20">
        <f>('TE BE'!$T$28+'TE BF'!$T$28+'TE CVA'!$T$28)*(1 - CUSTOS!$M$40)</f>
        <v>0</v>
      </c>
      <c r="S28" s="20">
        <f>('TE BE'!$U$28+'TE BF'!$U$28+'TE CVA'!$U$28)*(1 - CUSTOS!$M$40)</f>
        <v>0</v>
      </c>
      <c r="T28" s="20">
        <f>('TE BE'!$V$28+'TE BF'!$V$28+'TE CVA'!$V$28)*(1 - CUSTOS!$M$40)</f>
        <v>0</v>
      </c>
      <c r="U28" s="20">
        <f>('TE BE'!$X$28+'TE BF'!$X$28+'TE CVA'!$X$28)*(1 - CUSTOS!$M$40)</f>
        <v>-5.5968442726807259</v>
      </c>
      <c r="V28" s="20">
        <f>('TE BE'!$Z$28+'TE BF'!$Z$28+'TE CVA'!$Z$28)*(1 - CUSTOS!$M$40)</f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202.75375014562701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</row>
    <row r="29" spans="1:34" ht="11.25" customHeight="1" x14ac:dyDescent="0.25">
      <c r="A29" s="112"/>
      <c r="B29" s="112"/>
      <c r="C29" s="112"/>
      <c r="D29" s="112"/>
      <c r="E29" s="112"/>
      <c r="F29" s="112"/>
      <c r="G29" s="22" t="s">
        <v>75</v>
      </c>
      <c r="H29" s="22" t="s">
        <v>63</v>
      </c>
      <c r="I29" s="22">
        <f>'MERCADO TE'!$U$26</f>
        <v>0</v>
      </c>
      <c r="J29" s="15"/>
      <c r="L29" s="20">
        <f>('TE BE'!$L$29+'TE BF'!$L$29+'TE CVA'!$L$29)*(1 - CUSTOS!$M$40)</f>
        <v>0</v>
      </c>
      <c r="M29" s="20">
        <f>('TE BE'!$M$29+'TE BF'!$M$29+'TE CVA'!$M$29)*(1 - CUSTOS!$M$40)</f>
        <v>0</v>
      </c>
      <c r="N29" s="20">
        <f>('TE BE'!$N$29+'TE BF'!$N$29+'TE CVA'!$N$29)*(1 - CUSTOS!$M$40)</f>
        <v>0</v>
      </c>
      <c r="O29" s="20">
        <f>('TE BE'!$O$29+'TE BF'!$O$29+'TE CVA'!$O$29)*(1 - CUSTOS!$M$40)</f>
        <v>0</v>
      </c>
      <c r="P29" s="20">
        <f>('TE BE'!$P$29+'TE BF'!$P$29+'TE CVA'!$P$29)*(1 - CUSTOS!$M$40)</f>
        <v>0</v>
      </c>
      <c r="Q29" s="20">
        <f>('TE BE'!$R$29+'TE BF'!$R$29+'TE CVA'!$R$29)*(1 - CUSTOS!$M$40)</f>
        <v>226.31510793622613</v>
      </c>
      <c r="R29" s="20">
        <f>('TE BE'!$T$29+'TE BF'!$T$29+'TE CVA'!$T$29)*(1 - CUSTOS!$M$40)</f>
        <v>0</v>
      </c>
      <c r="S29" s="20">
        <f>('TE BE'!$U$29+'TE BF'!$U$29+'TE CVA'!$U$29)*(1 - CUSTOS!$M$40)</f>
        <v>0</v>
      </c>
      <c r="T29" s="20">
        <f>('TE BE'!$V$29+'TE BF'!$V$29+'TE CVA'!$V$29)*(1 - CUSTOS!$M$40)</f>
        <v>0</v>
      </c>
      <c r="U29" s="20">
        <f>('TE BE'!$X$29+'TE BF'!$X$29+'TE CVA'!$X$29)*(1 - CUSTOS!$M$40)</f>
        <v>-5.5968442726807259</v>
      </c>
      <c r="V29" s="20">
        <f>('TE BE'!$Z$29+'TE BF'!$Z$29+'TE CVA'!$Z$29)*(1 - CUSTOS!$M$40)</f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202.75375014562701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</row>
    <row r="30" spans="1:34" ht="11.25" customHeight="1" x14ac:dyDescent="0.25">
      <c r="A30" s="112"/>
      <c r="B30" s="112"/>
      <c r="C30" s="112"/>
      <c r="D30" s="112"/>
      <c r="E30" s="112"/>
      <c r="F30" s="112"/>
      <c r="G30" s="22" t="s">
        <v>65</v>
      </c>
      <c r="H30" s="22" t="s">
        <v>63</v>
      </c>
      <c r="I30" s="22">
        <f>'MERCADO TE'!$U$27</f>
        <v>0</v>
      </c>
      <c r="J30" s="15"/>
      <c r="L30" s="20">
        <f>('TE BE'!$L$30+'TE BF'!$L$30+'TE CVA'!$L$30)*(1 - CUSTOS!$M$40)</f>
        <v>0</v>
      </c>
      <c r="M30" s="20">
        <f>('TE BE'!$M$30+'TE BF'!$M$30+'TE CVA'!$M$30)*(1 - CUSTOS!$M$40)</f>
        <v>0</v>
      </c>
      <c r="N30" s="20">
        <f>('TE BE'!$N$30+'TE BF'!$N$30+'TE CVA'!$N$30)*(1 - CUSTOS!$M$40)</f>
        <v>0</v>
      </c>
      <c r="O30" s="20">
        <f>('TE BE'!$O$30+'TE BF'!$O$30+'TE CVA'!$O$30)*(1 - CUSTOS!$M$40)</f>
        <v>0</v>
      </c>
      <c r="P30" s="20">
        <f>('TE BE'!$P$30+'TE BF'!$P$30+'TE CVA'!$P$30)*(1 - CUSTOS!$M$40)</f>
        <v>0</v>
      </c>
      <c r="Q30" s="20">
        <f>('TE BE'!$R$30+'TE BF'!$R$30+'TE CVA'!$R$30)*(1 - CUSTOS!$M$40)</f>
        <v>226.31510793622613</v>
      </c>
      <c r="R30" s="20">
        <f>('TE BE'!$T$30+'TE BF'!$T$30+'TE CVA'!$T$30)*(1 - CUSTOS!$M$40)</f>
        <v>0</v>
      </c>
      <c r="S30" s="20">
        <f>('TE BE'!$U$30+'TE BF'!$U$30+'TE CVA'!$U$30)*(1 - CUSTOS!$M$40)</f>
        <v>0</v>
      </c>
      <c r="T30" s="20">
        <f>('TE BE'!$V$30+'TE BF'!$V$30+'TE CVA'!$V$30)*(1 - CUSTOS!$M$40)</f>
        <v>0</v>
      </c>
      <c r="U30" s="20">
        <f>('TE BE'!$X$30+'TE BF'!$X$30+'TE CVA'!$X$30)*(1 - CUSTOS!$M$40)</f>
        <v>-5.5968442726807259</v>
      </c>
      <c r="V30" s="20">
        <f>('TE BE'!$Z$30+'TE BF'!$Z$30+'TE CVA'!$Z$30)*(1 - CUSTOS!$M$40)</f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202.75375014562701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</row>
    <row r="31" spans="1:34" ht="11.25" customHeight="1" x14ac:dyDescent="0.25">
      <c r="A31" s="112"/>
      <c r="B31" s="23" t="s">
        <v>76</v>
      </c>
      <c r="C31" s="23" t="s">
        <v>40</v>
      </c>
      <c r="D31" s="23" t="s">
        <v>81</v>
      </c>
      <c r="E31" s="23" t="s">
        <v>25</v>
      </c>
      <c r="F31" s="23" t="s">
        <v>25</v>
      </c>
      <c r="G31" s="22" t="s">
        <v>69</v>
      </c>
      <c r="H31" s="22" t="s">
        <v>63</v>
      </c>
      <c r="I31" s="22">
        <f>'MERCADO TE'!$U$28</f>
        <v>0</v>
      </c>
      <c r="J31" s="15"/>
      <c r="L31" s="20">
        <f>('TE BE'!$L$31+'TE BF'!$L$31+'TE CVA'!$L$31)*(1 - CUSTOS!$M$40)</f>
        <v>0</v>
      </c>
      <c r="M31" s="20">
        <f>('TE BE'!$M$31+'TE BF'!$M$31+'TE CVA'!$M$31)*(1 - CUSTOS!$M$40)</f>
        <v>0</v>
      </c>
      <c r="N31" s="20">
        <f>('TE BE'!$N$31+'TE BF'!$N$31+'TE CVA'!$N$31)*(1 - CUSTOS!$M$40)</f>
        <v>0</v>
      </c>
      <c r="O31" s="20">
        <f>('TE BE'!$O$31+'TE BF'!$O$31+'TE CVA'!$O$31)*(1 - CUSTOS!$M$40)</f>
        <v>0</v>
      </c>
      <c r="P31" s="20">
        <f>('TE BE'!$P$31+'TE BF'!$P$31+'TE CVA'!$P$31)*(1 - CUSTOS!$M$40)</f>
        <v>0</v>
      </c>
      <c r="Q31" s="20">
        <f>('TE BE'!$R$31+'TE BF'!$R$31+'TE CVA'!$R$31)*(1 - CUSTOS!$M$40)</f>
        <v>226.31510793622613</v>
      </c>
      <c r="R31" s="20">
        <f>('TE BE'!$T$31+'TE BF'!$T$31+'TE CVA'!$T$31)*(1 - CUSTOS!$M$40)</f>
        <v>0</v>
      </c>
      <c r="S31" s="20">
        <f>('TE BE'!$U$31+'TE BF'!$U$31+'TE CVA'!$U$31)*(1 - CUSTOS!$M$40)</f>
        <v>0</v>
      </c>
      <c r="T31" s="20">
        <f>('TE BE'!$V$31+'TE BF'!$V$31+'TE CVA'!$V$31)*(1 - CUSTOS!$M$40)</f>
        <v>0</v>
      </c>
      <c r="U31" s="20">
        <f>('TE BE'!$X$31+'TE BF'!$X$31+'TE CVA'!$X$31)*(1 - CUSTOS!$M$40)</f>
        <v>-5.5968442726807259</v>
      </c>
      <c r="V31" s="20">
        <f>('TE BE'!$Z$31+'TE BF'!$Z$31+'TE CVA'!$Z$31)*(1 - CUSTOS!$M$40)</f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202.75375014562701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</row>
    <row r="32" spans="1:34" ht="11.25" customHeight="1" x14ac:dyDescent="0.25">
      <c r="A32" s="112"/>
      <c r="B32" s="112" t="s">
        <v>78</v>
      </c>
      <c r="C32" s="112" t="s">
        <v>40</v>
      </c>
      <c r="D32" s="23" t="s">
        <v>25</v>
      </c>
      <c r="E32" s="23" t="s">
        <v>25</v>
      </c>
      <c r="F32" s="23" t="s">
        <v>25</v>
      </c>
      <c r="G32" s="22" t="s">
        <v>69</v>
      </c>
      <c r="H32" s="22" t="s">
        <v>63</v>
      </c>
      <c r="I32" s="22">
        <f>'MERCADO TE'!$U$29</f>
        <v>0</v>
      </c>
      <c r="J32" s="15"/>
      <c r="L32" s="20">
        <f>('TE BE'!$L$32+'TE BF'!$L$32+'TE CVA'!$L$32)*(1 - CUSTOS!$M$38)</f>
        <v>0</v>
      </c>
      <c r="M32" s="20">
        <f>('TE BE'!$M$32+'TE BF'!$M$32+'TE CVA'!$M$32)*(1 - CUSTOS!$M$38)</f>
        <v>0</v>
      </c>
      <c r="N32" s="20">
        <f>('TE BE'!$N$32+'TE BF'!$N$32+'TE CVA'!$N$32)*(1 - CUSTOS!$M$38)</f>
        <v>0</v>
      </c>
      <c r="O32" s="20">
        <f>('TE BE'!$O$32+'TE BF'!$O$32+'TE CVA'!$O$32)*(1 - CUSTOS!$M$38)</f>
        <v>0</v>
      </c>
      <c r="P32" s="20">
        <f>('TE BE'!$P$32+'TE BF'!$P$32+'TE CVA'!$P$32)*(1 - CUSTOS!$M$38)</f>
        <v>0</v>
      </c>
      <c r="Q32" s="20">
        <f>('TE BE'!$R$32+'TE BF'!$R$32+'TE CVA'!$R$32)*(1 - CUSTOS!$M$38)</f>
        <v>231.23500158701364</v>
      </c>
      <c r="R32" s="20">
        <f>('TE BE'!$T$32+'TE BF'!$T$32+'TE CVA'!$T$32)*(1 - CUSTOS!$M$38)</f>
        <v>0</v>
      </c>
      <c r="S32" s="20">
        <f>('TE BE'!$U$32+'TE BF'!$U$32+'TE CVA'!$U$32)*(1 - CUSTOS!$M$38)</f>
        <v>0</v>
      </c>
      <c r="T32" s="20">
        <f>('TE BE'!$V$32+'TE BF'!$V$32+'TE CVA'!$V$32)*(1 - CUSTOS!$M$38)</f>
        <v>0</v>
      </c>
      <c r="U32" s="20">
        <f>('TE BE'!$X$32+'TE BF'!$X$32+'TE CVA'!$X$32)*(1 - CUSTOS!$M$38)</f>
        <v>-5.7185148003476982</v>
      </c>
      <c r="V32" s="20">
        <f>('TE BE'!$Z$32+'TE BF'!$Z$32+'TE CVA'!$Z$32)*(1 - CUSTOS!$M$38)</f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212.408690628752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1:34" ht="11.25" customHeight="1" x14ac:dyDescent="0.25">
      <c r="A33" s="112"/>
      <c r="B33" s="112"/>
      <c r="C33" s="112"/>
      <c r="D33" s="23" t="s">
        <v>80</v>
      </c>
      <c r="E33" s="23" t="s">
        <v>25</v>
      </c>
      <c r="F33" s="23" t="s">
        <v>25</v>
      </c>
      <c r="G33" s="22" t="s">
        <v>69</v>
      </c>
      <c r="H33" s="22" t="s">
        <v>63</v>
      </c>
      <c r="I33" s="22">
        <f>'MERCADO TE'!$U$30</f>
        <v>0</v>
      </c>
      <c r="J33" s="15"/>
      <c r="L33" s="20">
        <f>('TE BE'!$L$33+'TE BF'!$L$33+'TE CVA'!$L$33)*(1 - CUSTOS!$M$39)</f>
        <v>0</v>
      </c>
      <c r="M33" s="20">
        <f>('TE BE'!$M$33+'TE BF'!$M$33+'TE CVA'!$M$33)*(1 - CUSTOS!$M$39)</f>
        <v>0</v>
      </c>
      <c r="N33" s="20">
        <f>('TE BE'!$N$33+'TE BF'!$N$33+'TE CVA'!$N$33)*(1 - CUSTOS!$M$39)</f>
        <v>0</v>
      </c>
      <c r="O33" s="20">
        <f>('TE BE'!$O$33+'TE BF'!$O$33+'TE CVA'!$O$33)*(1 - CUSTOS!$M$39)</f>
        <v>0</v>
      </c>
      <c r="P33" s="20">
        <f>('TE BE'!$P$33+'TE BF'!$P$33+'TE CVA'!$P$33)*(1 - CUSTOS!$M$39)</f>
        <v>0</v>
      </c>
      <c r="Q33" s="20">
        <f>('TE BE'!$R$33+'TE BF'!$R$33+'TE CVA'!$R$33)*(1 - CUSTOS!$M$39)</f>
        <v>231.23500158701364</v>
      </c>
      <c r="R33" s="20">
        <f>('TE BE'!$T$33+'TE BF'!$T$33+'TE CVA'!$T$33)*(1 - CUSTOS!$M$39)</f>
        <v>0</v>
      </c>
      <c r="S33" s="20">
        <f>('TE BE'!$U$33+'TE BF'!$U$33+'TE CVA'!$U$33)*(1 - CUSTOS!$M$39)</f>
        <v>0</v>
      </c>
      <c r="T33" s="20">
        <f>('TE BE'!$V$33+'TE BF'!$V$33+'TE CVA'!$V$33)*(1 - CUSTOS!$M$39)</f>
        <v>0</v>
      </c>
      <c r="U33" s="20">
        <f>('TE BE'!$X$33+'TE BF'!$X$33+'TE CVA'!$X$33)*(1 - CUSTOS!$M$39)</f>
        <v>-5.7185148003476982</v>
      </c>
      <c r="V33" s="20">
        <f>('TE BE'!$Z$33+'TE BF'!$Z$33+'TE CVA'!$Z$33)*(1 - CUSTOS!$M$39)</f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212.408690628752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</row>
    <row r="34" spans="1:34" ht="11.25" customHeight="1" x14ac:dyDescent="0.25">
      <c r="A34" s="112"/>
      <c r="B34" s="112"/>
      <c r="C34" s="112"/>
      <c r="D34" s="23" t="s">
        <v>81</v>
      </c>
      <c r="E34" s="23" t="s">
        <v>25</v>
      </c>
      <c r="F34" s="23" t="s">
        <v>25</v>
      </c>
      <c r="G34" s="22" t="s">
        <v>69</v>
      </c>
      <c r="H34" s="22" t="s">
        <v>63</v>
      </c>
      <c r="I34" s="22">
        <f>'MERCADO TE'!$U$31</f>
        <v>0</v>
      </c>
      <c r="J34" s="15"/>
      <c r="L34" s="20">
        <f>('TE BE'!$L$34+'TE BF'!$L$34+'TE CVA'!$L$34)*(1 - CUSTOS!$M$40)</f>
        <v>0</v>
      </c>
      <c r="M34" s="20">
        <f>('TE BE'!$M$34+'TE BF'!$M$34+'TE CVA'!$M$34)*(1 - CUSTOS!$M$40)</f>
        <v>0</v>
      </c>
      <c r="N34" s="20">
        <f>('TE BE'!$N$34+'TE BF'!$N$34+'TE CVA'!$N$34)*(1 - CUSTOS!$M$40)</f>
        <v>0</v>
      </c>
      <c r="O34" s="20">
        <f>('TE BE'!$O$34+'TE BF'!$O$34+'TE CVA'!$O$34)*(1 - CUSTOS!$M$40)</f>
        <v>0</v>
      </c>
      <c r="P34" s="20">
        <f>('TE BE'!$P$34+'TE BF'!$P$34+'TE CVA'!$P$34)*(1 - CUSTOS!$M$40)</f>
        <v>0</v>
      </c>
      <c r="Q34" s="20">
        <f>('TE BE'!$R$34+'TE BF'!$R$34+'TE CVA'!$R$34)*(1 - CUSTOS!$M$40)</f>
        <v>226.31510793622613</v>
      </c>
      <c r="R34" s="20">
        <f>('TE BE'!$T$34+'TE BF'!$T$34+'TE CVA'!$T$34)*(1 - CUSTOS!$M$40)</f>
        <v>0</v>
      </c>
      <c r="S34" s="20">
        <f>('TE BE'!$U$34+'TE BF'!$U$34+'TE CVA'!$U$34)*(1 - CUSTOS!$M$40)</f>
        <v>0</v>
      </c>
      <c r="T34" s="20">
        <f>('TE BE'!$V$34+'TE BF'!$V$34+'TE CVA'!$V$34)*(1 - CUSTOS!$M$40)</f>
        <v>0</v>
      </c>
      <c r="U34" s="20">
        <f>('TE BE'!$X$34+'TE BF'!$X$34+'TE CVA'!$X$34)*(1 - CUSTOS!$M$40)</f>
        <v>-5.5968442726807259</v>
      </c>
      <c r="V34" s="20">
        <f>('TE BE'!$Z$34+'TE BF'!$Z$34+'TE CVA'!$Z$34)*(1 - CUSTOS!$M$40)</f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202.75375014562701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</row>
    <row r="35" spans="1:34" ht="11.25" customHeight="1" x14ac:dyDescent="0.25">
      <c r="A35" s="112" t="s">
        <v>31</v>
      </c>
      <c r="B35" s="112" t="s">
        <v>62</v>
      </c>
      <c r="C35" s="112" t="s">
        <v>25</v>
      </c>
      <c r="D35" s="112" t="s">
        <v>25</v>
      </c>
      <c r="E35" s="112" t="s">
        <v>25</v>
      </c>
      <c r="F35" s="112" t="s">
        <v>25</v>
      </c>
      <c r="G35" s="22" t="s">
        <v>64</v>
      </c>
      <c r="H35" s="22" t="s">
        <v>63</v>
      </c>
      <c r="I35" s="22">
        <f>'MERCADO TE'!$U$32</f>
        <v>0</v>
      </c>
      <c r="J35" s="15"/>
      <c r="L35" s="20">
        <f>('TE BE'!$L$35+'TE BF'!$L$35+'TE CVA'!$L$35)*1</f>
        <v>0</v>
      </c>
      <c r="M35" s="20">
        <f>('TE BE'!$M$35+'TE BF'!$M$35+'TE CVA'!$M$35)*1</f>
        <v>0</v>
      </c>
      <c r="N35" s="20">
        <f>('TE BE'!$N$35+'TE BF'!$N$35+'TE CVA'!$N$35)*1</f>
        <v>0</v>
      </c>
      <c r="O35" s="20">
        <f>('TE BE'!$O$35+'TE BF'!$O$35+'TE CVA'!$O$35)*1</f>
        <v>0</v>
      </c>
      <c r="P35" s="20">
        <f>('TE BE'!$P$35+'TE BF'!$P$35+'TE CVA'!$P$35)*1</f>
        <v>0</v>
      </c>
      <c r="Q35" s="20">
        <f>('TE BE'!$R$35+'TE BF'!$R$35+'TE CVA'!$R$35)*1</f>
        <v>245.99468253937621</v>
      </c>
      <c r="R35" s="20">
        <f>('TE BE'!$T$35+'TE BF'!$T$35+'TE CVA'!$T$35)*1</f>
        <v>0</v>
      </c>
      <c r="S35" s="20">
        <f>('TE BE'!$U$35+'TE BF'!$U$35+'TE CVA'!$U$35)*1</f>
        <v>0</v>
      </c>
      <c r="T35" s="20">
        <f>('TE BE'!$V$35+'TE BF'!$V$35+'TE CVA'!$V$35)*1</f>
        <v>0</v>
      </c>
      <c r="U35" s="20">
        <f>('TE BE'!$X$35+'TE BF'!$X$35+'TE CVA'!$X$35)*1</f>
        <v>-6.0835263833486151</v>
      </c>
      <c r="V35" s="20">
        <f>('TE BE'!$Z$35+'TE BF'!$Z$35+'TE CVA'!$Z$35)*1</f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241.37351207812699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</row>
    <row r="36" spans="1:34" ht="11.25" customHeight="1" x14ac:dyDescent="0.25">
      <c r="A36" s="112"/>
      <c r="B36" s="112"/>
      <c r="C36" s="112"/>
      <c r="D36" s="112"/>
      <c r="E36" s="112"/>
      <c r="F36" s="112"/>
      <c r="G36" s="22" t="s">
        <v>75</v>
      </c>
      <c r="H36" s="22" t="s">
        <v>63</v>
      </c>
      <c r="I36" s="22">
        <f>'MERCADO TE'!$U$33</f>
        <v>0</v>
      </c>
      <c r="J36" s="15"/>
      <c r="L36" s="20">
        <f>('TE BE'!$L$36+'TE BF'!$L$36+'TE CVA'!$L$36)*1</f>
        <v>0</v>
      </c>
      <c r="M36" s="20">
        <f>('TE BE'!$M$36+'TE BF'!$M$36+'TE CVA'!$M$36)*1</f>
        <v>0</v>
      </c>
      <c r="N36" s="20">
        <f>('TE BE'!$N$36+'TE BF'!$N$36+'TE CVA'!$N$36)*1</f>
        <v>0</v>
      </c>
      <c r="O36" s="20">
        <f>('TE BE'!$O$36+'TE BF'!$O$36+'TE CVA'!$O$36)*1</f>
        <v>0</v>
      </c>
      <c r="P36" s="20">
        <f>('TE BE'!$P$36+'TE BF'!$P$36+'TE CVA'!$P$36)*1</f>
        <v>0</v>
      </c>
      <c r="Q36" s="20">
        <f>('TE BE'!$R$36+'TE BF'!$R$36+'TE CVA'!$R$36)*1</f>
        <v>245.99468253937621</v>
      </c>
      <c r="R36" s="20">
        <f>('TE BE'!$T$36+'TE BF'!$T$36+'TE CVA'!$T$36)*1</f>
        <v>0</v>
      </c>
      <c r="S36" s="20">
        <f>('TE BE'!$U$36+'TE BF'!$U$36+'TE CVA'!$U$36)*1</f>
        <v>0</v>
      </c>
      <c r="T36" s="20">
        <f>('TE BE'!$V$36+'TE BF'!$V$36+'TE CVA'!$V$36)*1</f>
        <v>0</v>
      </c>
      <c r="U36" s="20">
        <f>('TE BE'!$X$36+'TE BF'!$X$36+'TE CVA'!$X$36)*1</f>
        <v>-6.0835263833486151</v>
      </c>
      <c r="V36" s="20">
        <f>('TE BE'!$Z$36+'TE BF'!$Z$36+'TE CVA'!$Z$36)*1</f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241.37351207812699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</row>
    <row r="37" spans="1:34" ht="11.25" customHeight="1" x14ac:dyDescent="0.25">
      <c r="A37" s="112"/>
      <c r="B37" s="112"/>
      <c r="C37" s="112"/>
      <c r="D37" s="112"/>
      <c r="E37" s="112"/>
      <c r="F37" s="112"/>
      <c r="G37" s="22" t="s">
        <v>65</v>
      </c>
      <c r="H37" s="22" t="s">
        <v>63</v>
      </c>
      <c r="I37" s="22">
        <f>'MERCADO TE'!$U$34</f>
        <v>0</v>
      </c>
      <c r="J37" s="15"/>
      <c r="L37" s="20">
        <f>('TE BE'!$L$37+'TE BF'!$L$37+'TE CVA'!$L$37)*1</f>
        <v>0</v>
      </c>
      <c r="M37" s="20">
        <f>('TE BE'!$M$37+'TE BF'!$M$37+'TE CVA'!$M$37)*1</f>
        <v>0</v>
      </c>
      <c r="N37" s="20">
        <f>('TE BE'!$N$37+'TE BF'!$N$37+'TE CVA'!$N$37)*1</f>
        <v>0</v>
      </c>
      <c r="O37" s="20">
        <f>('TE BE'!$O$37+'TE BF'!$O$37+'TE CVA'!$O$37)*1</f>
        <v>0</v>
      </c>
      <c r="P37" s="20">
        <f>('TE BE'!$P$37+'TE BF'!$P$37+'TE CVA'!$P$37)*1</f>
        <v>0</v>
      </c>
      <c r="Q37" s="20">
        <f>('TE BE'!$R$37+'TE BF'!$R$37+'TE CVA'!$R$37)*1</f>
        <v>245.99468253937621</v>
      </c>
      <c r="R37" s="20">
        <f>('TE BE'!$T$37+'TE BF'!$T$37+'TE CVA'!$T$37)*1</f>
        <v>0</v>
      </c>
      <c r="S37" s="20">
        <f>('TE BE'!$U$37+'TE BF'!$U$37+'TE CVA'!$U$37)*1</f>
        <v>0</v>
      </c>
      <c r="T37" s="20">
        <f>('TE BE'!$V$37+'TE BF'!$V$37+'TE CVA'!$V$37)*1</f>
        <v>0</v>
      </c>
      <c r="U37" s="20">
        <f>('TE BE'!$X$37+'TE BF'!$X$37+'TE CVA'!$X$37)*1</f>
        <v>-6.0835263833486151</v>
      </c>
      <c r="V37" s="20">
        <f>('TE BE'!$Z$37+'TE BF'!$Z$37+'TE CVA'!$Z$37)*1</f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241.37351207812699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</row>
    <row r="38" spans="1:34" ht="11.25" customHeight="1" x14ac:dyDescent="0.25">
      <c r="A38" s="112"/>
      <c r="B38" s="23" t="s">
        <v>76</v>
      </c>
      <c r="C38" s="23" t="s">
        <v>25</v>
      </c>
      <c r="D38" s="23" t="s">
        <v>25</v>
      </c>
      <c r="E38" s="23" t="s">
        <v>25</v>
      </c>
      <c r="F38" s="23" t="s">
        <v>25</v>
      </c>
      <c r="G38" s="22" t="s">
        <v>69</v>
      </c>
      <c r="H38" s="22" t="s">
        <v>63</v>
      </c>
      <c r="I38" s="22">
        <f>'MERCADO TE'!$U$35</f>
        <v>1376.9240000000002</v>
      </c>
      <c r="J38" s="15"/>
      <c r="L38" s="20">
        <f>('TE BE'!$L$38+'TE BF'!$L$38+'TE CVA'!$L$38)*1</f>
        <v>0</v>
      </c>
      <c r="M38" s="20">
        <f>('TE BE'!$M$38+'TE BF'!$M$38+'TE CVA'!$M$38)*1</f>
        <v>0</v>
      </c>
      <c r="N38" s="20">
        <f>('TE BE'!$N$38+'TE BF'!$N$38+'TE CVA'!$N$38)*1</f>
        <v>0</v>
      </c>
      <c r="O38" s="20">
        <f>('TE BE'!$O$38+'TE BF'!$O$38+'TE CVA'!$O$38)*1</f>
        <v>0</v>
      </c>
      <c r="P38" s="20">
        <f>('TE BE'!$P$38+'TE BF'!$P$38+'TE CVA'!$P$38)*1</f>
        <v>0</v>
      </c>
      <c r="Q38" s="20">
        <f>('TE BE'!$R$38+'TE BF'!$R$38+'TE CVA'!$R$38)*1</f>
        <v>245.99468253937621</v>
      </c>
      <c r="R38" s="20">
        <f>('TE BE'!$T$38+'TE BF'!$T$38+'TE CVA'!$T$38)*1</f>
        <v>0</v>
      </c>
      <c r="S38" s="20">
        <f>('TE BE'!$U$38+'TE BF'!$U$38+'TE CVA'!$U$38)*1</f>
        <v>0</v>
      </c>
      <c r="T38" s="20">
        <f>('TE BE'!$V$38+'TE BF'!$V$38+'TE CVA'!$V$38)*1</f>
        <v>0</v>
      </c>
      <c r="U38" s="20">
        <f>('TE BE'!$X$38+'TE BF'!$X$38+'TE CVA'!$X$38)*1</f>
        <v>-6.0835263833486151</v>
      </c>
      <c r="V38" s="20">
        <f>('TE BE'!$Z$38+'TE BF'!$Z$38+'TE CVA'!$Z$38)*1</f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241.37351207812699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</row>
    <row r="39" spans="1:34" ht="11.25" customHeight="1" x14ac:dyDescent="0.25">
      <c r="A39" s="112"/>
      <c r="B39" s="23" t="s">
        <v>78</v>
      </c>
      <c r="C39" s="23" t="s">
        <v>25</v>
      </c>
      <c r="D39" s="23" t="s">
        <v>25</v>
      </c>
      <c r="E39" s="23" t="s">
        <v>25</v>
      </c>
      <c r="F39" s="23" t="s">
        <v>25</v>
      </c>
      <c r="G39" s="22" t="s">
        <v>69</v>
      </c>
      <c r="H39" s="22" t="s">
        <v>63</v>
      </c>
      <c r="I39" s="22">
        <f>'MERCADO TE'!$U$36</f>
        <v>0</v>
      </c>
      <c r="J39" s="15"/>
      <c r="L39" s="20">
        <f>('TE BE'!$L$39+'TE BF'!$L$39+'TE CVA'!$L$39)*1</f>
        <v>0</v>
      </c>
      <c r="M39" s="20">
        <f>('TE BE'!$M$39+'TE BF'!$M$39+'TE CVA'!$M$39)*1</f>
        <v>0</v>
      </c>
      <c r="N39" s="20">
        <f>('TE BE'!$N$39+'TE BF'!$N$39+'TE CVA'!$N$39)*1</f>
        <v>0</v>
      </c>
      <c r="O39" s="20">
        <f>('TE BE'!$O$39+'TE BF'!$O$39+'TE CVA'!$O$39)*1</f>
        <v>0</v>
      </c>
      <c r="P39" s="20">
        <f>('TE BE'!$P$39+'TE BF'!$P$39+'TE CVA'!$P$39)*1</f>
        <v>0</v>
      </c>
      <c r="Q39" s="20">
        <f>('TE BE'!$R$39+'TE BF'!$R$39+'TE CVA'!$R$39)*1</f>
        <v>245.99468253937621</v>
      </c>
      <c r="R39" s="20">
        <f>('TE BE'!$T$39+'TE BF'!$T$39+'TE CVA'!$T$39)*1</f>
        <v>0</v>
      </c>
      <c r="S39" s="20">
        <f>('TE BE'!$U$39+'TE BF'!$U$39+'TE CVA'!$U$39)*1</f>
        <v>0</v>
      </c>
      <c r="T39" s="20">
        <f>('TE BE'!$V$39+'TE BF'!$V$39+'TE CVA'!$V$39)*1</f>
        <v>0</v>
      </c>
      <c r="U39" s="20">
        <f>('TE BE'!$X$39+'TE BF'!$X$39+'TE CVA'!$X$39)*1</f>
        <v>-6.0835263833486151</v>
      </c>
      <c r="V39" s="20">
        <f>('TE BE'!$Z$39+'TE BF'!$Z$39+'TE CVA'!$Z$39)*1</f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241.37351207812699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</row>
    <row r="40" spans="1:34" ht="11.25" customHeight="1" x14ac:dyDescent="0.25">
      <c r="A40" s="112" t="s">
        <v>42</v>
      </c>
      <c r="B40" s="112" t="s">
        <v>76</v>
      </c>
      <c r="C40" s="112" t="s">
        <v>43</v>
      </c>
      <c r="D40" s="23" t="s">
        <v>82</v>
      </c>
      <c r="E40" s="23" t="s">
        <v>25</v>
      </c>
      <c r="F40" s="23" t="s">
        <v>25</v>
      </c>
      <c r="G40" s="22" t="s">
        <v>69</v>
      </c>
      <c r="H40" s="22" t="s">
        <v>63</v>
      </c>
      <c r="I40" s="22">
        <f>'MERCADO TE'!$U$37</f>
        <v>0</v>
      </c>
      <c r="J40" s="15"/>
      <c r="L40" s="20">
        <f>('TE BE'!$L$40+'TE BF'!$L$40+'TE CVA'!$L$40)*1</f>
        <v>0</v>
      </c>
      <c r="M40" s="20">
        <f>('TE BE'!$M$40+'TE BF'!$M$40+'TE CVA'!$M$40)*1</f>
        <v>0</v>
      </c>
      <c r="N40" s="20">
        <f>('TE BE'!$N$40+'TE BF'!$N$40+'TE CVA'!$N$40)*1</f>
        <v>0</v>
      </c>
      <c r="O40" s="20">
        <f>('TE BE'!$O$40+'TE BF'!$O$40+'TE CVA'!$O$40)*1</f>
        <v>0</v>
      </c>
      <c r="P40" s="20">
        <f>('TE BE'!$P$40+'TE BF'!$P$40+'TE CVA'!$P$40)*1</f>
        <v>0</v>
      </c>
      <c r="Q40" s="20">
        <f>('TE BE'!$R$40+'TE BF'!$R$40+'TE CVA'!$R$40)*1</f>
        <v>135.29707539665691</v>
      </c>
      <c r="R40" s="20">
        <f>('TE BE'!$T$40+'TE BF'!$T$40+'TE CVA'!$T$40)*1</f>
        <v>0</v>
      </c>
      <c r="S40" s="20">
        <f>('TE BE'!$U$40+'TE BF'!$U$40+'TE CVA'!$U$40)*1</f>
        <v>0</v>
      </c>
      <c r="T40" s="20">
        <f>('TE BE'!$V$40+'TE BF'!$V$40+'TE CVA'!$V$40)*1</f>
        <v>0</v>
      </c>
      <c r="U40" s="20">
        <f>('TE BE'!$X$40+'TE BF'!$X$40+'TE CVA'!$X$40)*1</f>
        <v>-3.3459395108417382</v>
      </c>
      <c r="V40" s="20">
        <f>('TE BE'!$Z$40+'TE BF'!$Z$40+'TE CVA'!$Z$40)*1</f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132.75543164297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</row>
    <row r="41" spans="1:34" ht="11.25" customHeight="1" x14ac:dyDescent="0.25">
      <c r="A41" s="112"/>
      <c r="B41" s="112"/>
      <c r="C41" s="112"/>
      <c r="D41" s="22" t="s">
        <v>44</v>
      </c>
      <c r="E41" s="22" t="s">
        <v>25</v>
      </c>
      <c r="F41" s="22" t="s">
        <v>25</v>
      </c>
      <c r="G41" s="22" t="s">
        <v>69</v>
      </c>
      <c r="H41" s="22" t="s">
        <v>63</v>
      </c>
      <c r="I41" s="22">
        <f>'MERCADO TE'!$U$38</f>
        <v>547.28399999999988</v>
      </c>
      <c r="J41" s="15"/>
      <c r="L41" s="20">
        <f>('TE BE'!$L$41+'TE BF'!$L$41+'TE CVA'!$L$41)*1</f>
        <v>0</v>
      </c>
      <c r="M41" s="20">
        <f>('TE BE'!$M$41+'TE BF'!$M$41+'TE CVA'!$M$41)*1</f>
        <v>0</v>
      </c>
      <c r="N41" s="20">
        <f>('TE BE'!$N$41+'TE BF'!$N$41+'TE CVA'!$N$41)*1</f>
        <v>0</v>
      </c>
      <c r="O41" s="20">
        <f>('TE BE'!$O$41+'TE BF'!$O$41+'TE CVA'!$O$41)*1</f>
        <v>0</v>
      </c>
      <c r="P41" s="20">
        <f>('TE BE'!$P$41+'TE BF'!$P$41+'TE CVA'!$P$41)*1</f>
        <v>0</v>
      </c>
      <c r="Q41" s="20">
        <f>('TE BE'!$R$41+'TE BF'!$R$41+'TE CVA'!$R$41)*1</f>
        <v>147.59680952362569</v>
      </c>
      <c r="R41" s="20">
        <f>('TE BE'!$T$41+'TE BF'!$T$41+'TE CVA'!$T$41)*1</f>
        <v>0</v>
      </c>
      <c r="S41" s="20">
        <f>('TE BE'!$U$41+'TE BF'!$U$41+'TE CVA'!$U$41)*1</f>
        <v>0</v>
      </c>
      <c r="T41" s="20">
        <f>('TE BE'!$V$41+'TE BF'!$V$41+'TE CVA'!$V$41)*1</f>
        <v>0</v>
      </c>
      <c r="U41" s="20">
        <f>('TE BE'!$X$41+'TE BF'!$X$41+'TE CVA'!$X$41)*1</f>
        <v>-3.6501158300091685</v>
      </c>
      <c r="V41" s="20">
        <f>('TE BE'!$Z$41+'TE BF'!$Z$41+'TE CVA'!$Z$41)*1</f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144.824107246876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</row>
    <row r="43" spans="1:34" ht="11.25" customHeight="1" x14ac:dyDescent="0.25">
      <c r="L43" s="114" t="s">
        <v>795</v>
      </c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X43" s="114" t="s">
        <v>796</v>
      </c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</row>
    <row r="44" spans="1:34" ht="11.25" customHeight="1" x14ac:dyDescent="0.25">
      <c r="L44" s="114" t="s">
        <v>350</v>
      </c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X44" s="114" t="s">
        <v>350</v>
      </c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</row>
    <row r="45" spans="1:34" ht="11.25" customHeight="1" x14ac:dyDescent="0.25">
      <c r="L45" s="114" t="s">
        <v>323</v>
      </c>
      <c r="M45" s="114"/>
      <c r="N45" s="114"/>
      <c r="O45" s="114"/>
      <c r="P45" s="114"/>
      <c r="Q45" s="24" t="s">
        <v>354</v>
      </c>
      <c r="R45" s="114" t="s">
        <v>332</v>
      </c>
      <c r="S45" s="114"/>
      <c r="T45" s="114"/>
      <c r="U45" s="24" t="s">
        <v>342</v>
      </c>
      <c r="V45" s="24" t="s">
        <v>345</v>
      </c>
      <c r="X45" s="114" t="s">
        <v>323</v>
      </c>
      <c r="Y45" s="114"/>
      <c r="Z45" s="114"/>
      <c r="AA45" s="114"/>
      <c r="AB45" s="114"/>
      <c r="AC45" s="24" t="s">
        <v>354</v>
      </c>
      <c r="AD45" s="114" t="s">
        <v>332</v>
      </c>
      <c r="AE45" s="114"/>
      <c r="AF45" s="114"/>
      <c r="AG45" s="24" t="s">
        <v>342</v>
      </c>
      <c r="AH45" s="24" t="s">
        <v>345</v>
      </c>
    </row>
    <row r="46" spans="1:34" ht="11.25" customHeight="1" x14ac:dyDescent="0.25">
      <c r="L46" s="24" t="s">
        <v>325</v>
      </c>
      <c r="M46" s="24" t="s">
        <v>351</v>
      </c>
      <c r="N46" s="24" t="s">
        <v>352</v>
      </c>
      <c r="O46" s="24" t="s">
        <v>411</v>
      </c>
      <c r="P46" s="24" t="s">
        <v>353</v>
      </c>
      <c r="Q46" s="24" t="s">
        <v>355</v>
      </c>
      <c r="R46" s="24" t="s">
        <v>356</v>
      </c>
      <c r="S46" s="24" t="s">
        <v>357</v>
      </c>
      <c r="T46" s="24" t="s">
        <v>358</v>
      </c>
      <c r="U46" s="24" t="s">
        <v>343</v>
      </c>
      <c r="V46" s="24" t="s">
        <v>359</v>
      </c>
      <c r="X46" s="24" t="s">
        <v>325</v>
      </c>
      <c r="Y46" s="24" t="s">
        <v>351</v>
      </c>
      <c r="Z46" s="24" t="s">
        <v>352</v>
      </c>
      <c r="AA46" s="24" t="s">
        <v>411</v>
      </c>
      <c r="AB46" s="24" t="s">
        <v>353</v>
      </c>
      <c r="AC46" s="24" t="s">
        <v>355</v>
      </c>
      <c r="AD46" s="24" t="s">
        <v>356</v>
      </c>
      <c r="AE46" s="24" t="s">
        <v>357</v>
      </c>
      <c r="AF46" s="24" t="s">
        <v>358</v>
      </c>
      <c r="AG46" s="24" t="s">
        <v>343</v>
      </c>
      <c r="AH46" s="24" t="s">
        <v>359</v>
      </c>
    </row>
    <row r="47" spans="1:34" ht="11.25" customHeight="1" x14ac:dyDescent="0.25">
      <c r="A47" s="9" t="s">
        <v>33</v>
      </c>
      <c r="B47" s="9" t="s">
        <v>797</v>
      </c>
      <c r="C47" s="9" t="s">
        <v>798</v>
      </c>
      <c r="D47" s="9" t="s">
        <v>799</v>
      </c>
      <c r="E47" s="9" t="s">
        <v>800</v>
      </c>
      <c r="F47" s="9" t="s">
        <v>801</v>
      </c>
      <c r="G47" s="9" t="s">
        <v>802</v>
      </c>
      <c r="L47" s="20">
        <f>$I$5*$L$5</f>
        <v>0</v>
      </c>
      <c r="M47" s="20">
        <f>$I$5*$M$5</f>
        <v>0</v>
      </c>
      <c r="N47" s="20">
        <f>$I$5*$N$5</f>
        <v>0</v>
      </c>
      <c r="O47" s="20">
        <f>$I$5*$O$5</f>
        <v>0</v>
      </c>
      <c r="P47" s="20">
        <f>$I$5*$P$5</f>
        <v>0</v>
      </c>
      <c r="Q47" s="20">
        <f>$I$5*$Q$5</f>
        <v>1088501.1327844381</v>
      </c>
      <c r="R47" s="20">
        <f>$I$5*$R$5</f>
        <v>0</v>
      </c>
      <c r="S47" s="20">
        <f>$I$5*$S$5</f>
        <v>0</v>
      </c>
      <c r="T47" s="20">
        <f>$I$5*$T$5</f>
        <v>0</v>
      </c>
      <c r="U47" s="20">
        <f>$I$5*$U$5</f>
        <v>-26918.977643100137</v>
      </c>
      <c r="V47" s="20">
        <f>$I$5*$V$5</f>
        <v>0</v>
      </c>
      <c r="X47" s="20">
        <f>$I$5*$X$5</f>
        <v>0</v>
      </c>
      <c r="Y47" s="20">
        <f>$I$5*$Y$5</f>
        <v>0</v>
      </c>
      <c r="Z47" s="20">
        <f>$I$5*$Z$5</f>
        <v>0</v>
      </c>
      <c r="AA47" s="20">
        <f>$I$5*$AA$5</f>
        <v>0</v>
      </c>
      <c r="AB47" s="20">
        <f>$I$5*$AB$5</f>
        <v>0</v>
      </c>
      <c r="AC47" s="20">
        <f>$I$5*$AC$5</f>
        <v>1068052.929473968</v>
      </c>
      <c r="AD47" s="20">
        <f>$I$5*$AD$5</f>
        <v>0</v>
      </c>
      <c r="AE47" s="20">
        <f>$I$5*$AE$5</f>
        <v>0</v>
      </c>
      <c r="AF47" s="20">
        <f>$I$5*$AF$5</f>
        <v>0</v>
      </c>
      <c r="AG47" s="20">
        <f>$I$5*$AG$5</f>
        <v>0</v>
      </c>
      <c r="AH47" s="20">
        <f>$I$5*$AH$5</f>
        <v>0</v>
      </c>
    </row>
    <row r="48" spans="1:34" ht="11.25" customHeight="1" x14ac:dyDescent="0.25">
      <c r="A48" s="9" t="s">
        <v>33</v>
      </c>
      <c r="B48" s="9" t="s">
        <v>797</v>
      </c>
      <c r="C48" s="9" t="s">
        <v>798</v>
      </c>
      <c r="D48" s="9" t="s">
        <v>799</v>
      </c>
      <c r="E48" s="9" t="s">
        <v>800</v>
      </c>
      <c r="F48" s="9" t="s">
        <v>801</v>
      </c>
      <c r="G48" s="9" t="s">
        <v>803</v>
      </c>
      <c r="L48" s="20">
        <f>$I$6*$L$6</f>
        <v>0</v>
      </c>
      <c r="M48" s="20">
        <f>$I$6*$M$6</f>
        <v>0</v>
      </c>
      <c r="N48" s="20">
        <f>$I$6*$N$6</f>
        <v>0</v>
      </c>
      <c r="O48" s="20">
        <f>$I$6*$O$6</f>
        <v>0</v>
      </c>
      <c r="P48" s="20">
        <f>$I$6*$P$6</f>
        <v>0</v>
      </c>
      <c r="Q48" s="20">
        <f>$I$6*$Q$6</f>
        <v>11488211.690968314</v>
      </c>
      <c r="R48" s="20">
        <f>$I$6*$R$6</f>
        <v>0</v>
      </c>
      <c r="S48" s="20">
        <f>$I$6*$S$6</f>
        <v>0</v>
      </c>
      <c r="T48" s="20">
        <f>$I$6*$T$6</f>
        <v>0</v>
      </c>
      <c r="U48" s="20">
        <f>$I$6*$U$6</f>
        <v>-284107.11238976754</v>
      </c>
      <c r="V48" s="20">
        <f>$I$6*$V$6</f>
        <v>0</v>
      </c>
      <c r="X48" s="20">
        <f>$I$6*$X$6</f>
        <v>0</v>
      </c>
      <c r="Y48" s="20">
        <f>$I$6*$Y$6</f>
        <v>0</v>
      </c>
      <c r="Z48" s="20">
        <f>$I$6*$Z$6</f>
        <v>0</v>
      </c>
      <c r="AA48" s="20">
        <f>$I$6*$AA$6</f>
        <v>0</v>
      </c>
      <c r="AB48" s="20">
        <f>$I$6*$AB$6</f>
        <v>0</v>
      </c>
      <c r="AC48" s="20">
        <f>$I$6*$AC$6</f>
        <v>11272398.145850798</v>
      </c>
      <c r="AD48" s="20">
        <f>$I$6*$AD$6</f>
        <v>0</v>
      </c>
      <c r="AE48" s="20">
        <f>$I$6*$AE$6</f>
        <v>0</v>
      </c>
      <c r="AF48" s="20">
        <f>$I$6*$AF$6</f>
        <v>0</v>
      </c>
      <c r="AG48" s="20">
        <f>$I$6*$AG$6</f>
        <v>0</v>
      </c>
      <c r="AH48" s="20">
        <f>$I$6*$AH$6</f>
        <v>0</v>
      </c>
    </row>
    <row r="49" spans="1:34" ht="11.25" customHeight="1" x14ac:dyDescent="0.25">
      <c r="A49" s="9" t="s">
        <v>22</v>
      </c>
      <c r="B49" s="9" t="s">
        <v>804</v>
      </c>
      <c r="C49" s="9" t="s">
        <v>805</v>
      </c>
      <c r="D49" s="9" t="s">
        <v>806</v>
      </c>
      <c r="E49" s="9" t="s">
        <v>807</v>
      </c>
      <c r="F49" s="9" t="s">
        <v>808</v>
      </c>
      <c r="G49" s="9" t="s">
        <v>809</v>
      </c>
      <c r="L49" s="20">
        <f>$I$7*$L$7</f>
        <v>0</v>
      </c>
      <c r="M49" s="20">
        <f>$I$7*$M$7</f>
        <v>0</v>
      </c>
      <c r="N49" s="20">
        <f>$I$7*$N$7</f>
        <v>0</v>
      </c>
      <c r="O49" s="20">
        <f>$I$7*$O$7</f>
        <v>0</v>
      </c>
      <c r="P49" s="20">
        <f>$I$7*$P$7</f>
        <v>0</v>
      </c>
      <c r="Q49" s="20">
        <f>$I$7*$Q$7</f>
        <v>0</v>
      </c>
      <c r="R49" s="20">
        <f>$I$7*$R$7</f>
        <v>0</v>
      </c>
      <c r="S49" s="20">
        <f>$I$7*$S$7</f>
        <v>0</v>
      </c>
      <c r="T49" s="20">
        <f>$I$7*$T$7</f>
        <v>0</v>
      </c>
      <c r="U49" s="20">
        <f>$I$7*$U$7</f>
        <v>0</v>
      </c>
      <c r="V49" s="20">
        <f>$I$7*$V$7</f>
        <v>0</v>
      </c>
      <c r="X49" s="20">
        <f>$I$7*$X$7</f>
        <v>0</v>
      </c>
      <c r="Y49" s="20">
        <f>$I$7*$Y$7</f>
        <v>0</v>
      </c>
      <c r="Z49" s="20">
        <f>$I$7*$Z$7</f>
        <v>0</v>
      </c>
      <c r="AA49" s="20">
        <f>$I$7*$AA$7</f>
        <v>0</v>
      </c>
      <c r="AB49" s="20">
        <f>$I$7*$AB$7</f>
        <v>0</v>
      </c>
      <c r="AC49" s="20">
        <f>$I$7*$AC$7</f>
        <v>0</v>
      </c>
      <c r="AD49" s="20">
        <f>$I$7*$AD$7</f>
        <v>0</v>
      </c>
      <c r="AE49" s="20">
        <f>$I$7*$AE$7</f>
        <v>0</v>
      </c>
      <c r="AF49" s="20">
        <f>$I$7*$AF$7</f>
        <v>0</v>
      </c>
      <c r="AG49" s="20">
        <f>$I$7*$AG$7</f>
        <v>0</v>
      </c>
      <c r="AH49" s="20">
        <f>$I$7*$AH$7</f>
        <v>0</v>
      </c>
    </row>
    <row r="50" spans="1:34" ht="11.25" customHeight="1" x14ac:dyDescent="0.25">
      <c r="A50" s="9" t="s">
        <v>22</v>
      </c>
      <c r="B50" s="9" t="s">
        <v>804</v>
      </c>
      <c r="C50" s="9" t="s">
        <v>805</v>
      </c>
      <c r="D50" s="9" t="s">
        <v>806</v>
      </c>
      <c r="E50" s="9" t="s">
        <v>807</v>
      </c>
      <c r="F50" s="9" t="s">
        <v>808</v>
      </c>
      <c r="G50" s="9" t="s">
        <v>810</v>
      </c>
      <c r="L50" s="20">
        <f>$I$8*$L$8</f>
        <v>0</v>
      </c>
      <c r="M50" s="20">
        <f>$I$8*$M$8</f>
        <v>0</v>
      </c>
      <c r="N50" s="20">
        <f>$I$8*$N$8</f>
        <v>0</v>
      </c>
      <c r="O50" s="20">
        <f>$I$8*$O$8</f>
        <v>0</v>
      </c>
      <c r="P50" s="20">
        <f>$I$8*$P$8</f>
        <v>0</v>
      </c>
      <c r="Q50" s="20">
        <f>$I$8*$Q$8</f>
        <v>0</v>
      </c>
      <c r="R50" s="20">
        <f>$I$8*$R$8</f>
        <v>0</v>
      </c>
      <c r="S50" s="20">
        <f>$I$8*$S$8</f>
        <v>0</v>
      </c>
      <c r="T50" s="20">
        <f>$I$8*$T$8</f>
        <v>0</v>
      </c>
      <c r="U50" s="20">
        <f>$I$8*$U$8</f>
        <v>0</v>
      </c>
      <c r="V50" s="20">
        <f>$I$8*$V$8</f>
        <v>0</v>
      </c>
      <c r="X50" s="20">
        <f>$I$8*$X$8</f>
        <v>0</v>
      </c>
      <c r="Y50" s="20">
        <f>$I$8*$Y$8</f>
        <v>0</v>
      </c>
      <c r="Z50" s="20">
        <f>$I$8*$Z$8</f>
        <v>0</v>
      </c>
      <c r="AA50" s="20">
        <f>$I$8*$AA$8</f>
        <v>0</v>
      </c>
      <c r="AB50" s="20">
        <f>$I$8*$AB$8</f>
        <v>0</v>
      </c>
      <c r="AC50" s="20">
        <f>$I$8*$AC$8</f>
        <v>0</v>
      </c>
      <c r="AD50" s="20">
        <f>$I$8*$AD$8</f>
        <v>0</v>
      </c>
      <c r="AE50" s="20">
        <f>$I$8*$AE$8</f>
        <v>0</v>
      </c>
      <c r="AF50" s="20">
        <f>$I$8*$AF$8</f>
        <v>0</v>
      </c>
      <c r="AG50" s="20">
        <f>$I$8*$AG$8</f>
        <v>0</v>
      </c>
      <c r="AH50" s="20">
        <f>$I$8*$AH$8</f>
        <v>0</v>
      </c>
    </row>
    <row r="51" spans="1:34" ht="11.25" customHeight="1" x14ac:dyDescent="0.25">
      <c r="A51" s="9" t="s">
        <v>22</v>
      </c>
      <c r="B51" s="9" t="s">
        <v>804</v>
      </c>
      <c r="C51" s="9" t="s">
        <v>805</v>
      </c>
      <c r="D51" s="9" t="s">
        <v>806</v>
      </c>
      <c r="E51" s="9" t="s">
        <v>807</v>
      </c>
      <c r="F51" s="9" t="s">
        <v>808</v>
      </c>
      <c r="G51" s="9" t="s">
        <v>811</v>
      </c>
      <c r="L51" s="20">
        <f>$I$9*$L$9</f>
        <v>0</v>
      </c>
      <c r="M51" s="20">
        <f>$I$9*$M$9</f>
        <v>0</v>
      </c>
      <c r="N51" s="20">
        <f>$I$9*$N$9</f>
        <v>0</v>
      </c>
      <c r="O51" s="20">
        <f>$I$9*$O$9</f>
        <v>0</v>
      </c>
      <c r="P51" s="20">
        <f>$I$9*$P$9</f>
        <v>0</v>
      </c>
      <c r="Q51" s="20">
        <f>$I$9*$Q$9</f>
        <v>0</v>
      </c>
      <c r="R51" s="20">
        <f>$I$9*$R$9</f>
        <v>0</v>
      </c>
      <c r="S51" s="20">
        <f>$I$9*$S$9</f>
        <v>0</v>
      </c>
      <c r="T51" s="20">
        <f>$I$9*$T$9</f>
        <v>0</v>
      </c>
      <c r="U51" s="20">
        <f>$I$9*$U$9</f>
        <v>0</v>
      </c>
      <c r="V51" s="20">
        <f>$I$9*$V$9</f>
        <v>0</v>
      </c>
      <c r="X51" s="20">
        <f>$I$9*$X$9</f>
        <v>0</v>
      </c>
      <c r="Y51" s="20">
        <f>$I$9*$Y$9</f>
        <v>0</v>
      </c>
      <c r="Z51" s="20">
        <f>$I$9*$Z$9</f>
        <v>0</v>
      </c>
      <c r="AA51" s="20">
        <f>$I$9*$AA$9</f>
        <v>0</v>
      </c>
      <c r="AB51" s="20">
        <f>$I$9*$AB$9</f>
        <v>0</v>
      </c>
      <c r="AC51" s="20">
        <f>$I$9*$AC$9</f>
        <v>0</v>
      </c>
      <c r="AD51" s="20">
        <f>$I$9*$AD$9</f>
        <v>0</v>
      </c>
      <c r="AE51" s="20">
        <f>$I$9*$AE$9</f>
        <v>0</v>
      </c>
      <c r="AF51" s="20">
        <f>$I$9*$AF$9</f>
        <v>0</v>
      </c>
      <c r="AG51" s="20">
        <f>$I$9*$AG$9</f>
        <v>0</v>
      </c>
      <c r="AH51" s="20">
        <f>$I$9*$AH$9</f>
        <v>0</v>
      </c>
    </row>
    <row r="52" spans="1:34" ht="11.25" customHeight="1" x14ac:dyDescent="0.25">
      <c r="A52" s="9" t="s">
        <v>22</v>
      </c>
      <c r="B52" s="9" t="s">
        <v>812</v>
      </c>
      <c r="C52" s="9" t="s">
        <v>813</v>
      </c>
      <c r="D52" s="9" t="s">
        <v>814</v>
      </c>
      <c r="E52" s="9" t="s">
        <v>815</v>
      </c>
      <c r="F52" s="9" t="s">
        <v>816</v>
      </c>
      <c r="G52" s="9" t="s">
        <v>817</v>
      </c>
      <c r="L52" s="20">
        <f>$I$10*$L$10</f>
        <v>0</v>
      </c>
      <c r="M52" s="20">
        <f>$I$10*$M$10</f>
        <v>0</v>
      </c>
      <c r="N52" s="20">
        <f>$I$10*$N$10</f>
        <v>0</v>
      </c>
      <c r="O52" s="20">
        <f>$I$10*$O$10</f>
        <v>0</v>
      </c>
      <c r="P52" s="20">
        <f>$I$10*$P$10</f>
        <v>0</v>
      </c>
      <c r="Q52" s="20">
        <f>$I$10*$Q$10</f>
        <v>730287.85798020172</v>
      </c>
      <c r="R52" s="20">
        <f>$I$10*$R$10</f>
        <v>0</v>
      </c>
      <c r="S52" s="20">
        <f>$I$10*$S$10</f>
        <v>0</v>
      </c>
      <c r="T52" s="20">
        <f>$I$10*$T$10</f>
        <v>0</v>
      </c>
      <c r="U52" s="20">
        <f>$I$10*$U$10</f>
        <v>-18060.2499436164</v>
      </c>
      <c r="V52" s="20">
        <f>$I$10*$V$10</f>
        <v>0</v>
      </c>
      <c r="X52" s="20">
        <f>$I$10*$X$10</f>
        <v>0</v>
      </c>
      <c r="Y52" s="20">
        <f>$I$10*$Y$10</f>
        <v>0</v>
      </c>
      <c r="Z52" s="20">
        <f>$I$10*$Z$10</f>
        <v>0</v>
      </c>
      <c r="AA52" s="20">
        <f>$I$10*$AA$10</f>
        <v>0</v>
      </c>
      <c r="AB52" s="20">
        <f>$I$10*$AB$10</f>
        <v>0</v>
      </c>
      <c r="AC52" s="20">
        <f>$I$10*$AC$10</f>
        <v>716568.92453550466</v>
      </c>
      <c r="AD52" s="20">
        <f>$I$10*$AD$10</f>
        <v>0</v>
      </c>
      <c r="AE52" s="20">
        <f>$I$10*$AE$10</f>
        <v>0</v>
      </c>
      <c r="AF52" s="20">
        <f>$I$10*$AF$10</f>
        <v>0</v>
      </c>
      <c r="AG52" s="20">
        <f>$I$10*$AG$10</f>
        <v>0</v>
      </c>
      <c r="AH52" s="20">
        <f>$I$10*$AH$10</f>
        <v>0</v>
      </c>
    </row>
    <row r="53" spans="1:34" ht="11.25" customHeight="1" x14ac:dyDescent="0.25">
      <c r="A53" s="9" t="s">
        <v>22</v>
      </c>
      <c r="B53" s="9" t="s">
        <v>812</v>
      </c>
      <c r="C53" s="9" t="s">
        <v>813</v>
      </c>
      <c r="D53" s="9" t="s">
        <v>818</v>
      </c>
      <c r="E53" s="9" t="s">
        <v>819</v>
      </c>
      <c r="F53" s="9" t="s">
        <v>820</v>
      </c>
      <c r="G53" s="9" t="s">
        <v>821</v>
      </c>
      <c r="L53" s="20">
        <f>$I$11*$L$11</f>
        <v>0</v>
      </c>
      <c r="M53" s="20">
        <f>$I$11*$M$11</f>
        <v>0</v>
      </c>
      <c r="N53" s="20">
        <f>$I$11*$N$11</f>
        <v>0</v>
      </c>
      <c r="O53" s="20">
        <f>$I$11*$O$11</f>
        <v>0</v>
      </c>
      <c r="P53" s="20">
        <f>$I$11*$P$11</f>
        <v>0</v>
      </c>
      <c r="Q53" s="20">
        <f>$I$11*$Q$11</f>
        <v>258.72490736078896</v>
      </c>
      <c r="R53" s="20">
        <f>$I$11*$R$11</f>
        <v>0</v>
      </c>
      <c r="S53" s="20">
        <f>$I$11*$S$11</f>
        <v>0</v>
      </c>
      <c r="T53" s="20">
        <f>$I$11*$T$11</f>
        <v>0</v>
      </c>
      <c r="U53" s="20">
        <f>$I$11*$U$11</f>
        <v>-6.3983488736869054</v>
      </c>
      <c r="V53" s="20">
        <f>$I$11*$V$11</f>
        <v>0</v>
      </c>
      <c r="X53" s="20">
        <f>$I$11*$X$11</f>
        <v>0</v>
      </c>
      <c r="Y53" s="20">
        <f>$I$11*$Y$11</f>
        <v>0</v>
      </c>
      <c r="Z53" s="20">
        <f>$I$11*$Z$11</f>
        <v>0</v>
      </c>
      <c r="AA53" s="20">
        <f>$I$11*$AA$11</f>
        <v>0</v>
      </c>
      <c r="AB53" s="20">
        <f>$I$11*$AB$11</f>
        <v>0</v>
      </c>
      <c r="AC53" s="20">
        <f>$I$11*$AC$11</f>
        <v>253.86459132817055</v>
      </c>
      <c r="AD53" s="20">
        <f>$I$11*$AD$11</f>
        <v>0</v>
      </c>
      <c r="AE53" s="20">
        <f>$I$11*$AE$11</f>
        <v>0</v>
      </c>
      <c r="AF53" s="20">
        <f>$I$11*$AF$11</f>
        <v>0</v>
      </c>
      <c r="AG53" s="20">
        <f>$I$11*$AG$11</f>
        <v>0</v>
      </c>
      <c r="AH53" s="20">
        <f>$I$11*$AH$11</f>
        <v>0</v>
      </c>
    </row>
    <row r="54" spans="1:34" ht="11.25" customHeight="1" x14ac:dyDescent="0.25">
      <c r="A54" s="9" t="s">
        <v>22</v>
      </c>
      <c r="B54" s="9" t="s">
        <v>812</v>
      </c>
      <c r="C54" s="9" t="s">
        <v>813</v>
      </c>
      <c r="D54" s="9" t="s">
        <v>822</v>
      </c>
      <c r="E54" s="9" t="s">
        <v>823</v>
      </c>
      <c r="F54" s="9" t="s">
        <v>824</v>
      </c>
      <c r="G54" s="9" t="s">
        <v>825</v>
      </c>
      <c r="L54" s="20">
        <f>$I$12*$L$12</f>
        <v>0</v>
      </c>
      <c r="M54" s="20">
        <f>$I$12*$M$12</f>
        <v>0</v>
      </c>
      <c r="N54" s="20">
        <f>$I$12*$N$12</f>
        <v>0</v>
      </c>
      <c r="O54" s="20">
        <f>$I$12*$O$12</f>
        <v>0</v>
      </c>
      <c r="P54" s="20">
        <f>$I$12*$P$12</f>
        <v>0</v>
      </c>
      <c r="Q54" s="20">
        <f>$I$12*$Q$12</f>
        <v>710.23584742768696</v>
      </c>
      <c r="R54" s="20">
        <f>$I$12*$R$12</f>
        <v>0</v>
      </c>
      <c r="S54" s="20">
        <f>$I$12*$S$12</f>
        <v>0</v>
      </c>
      <c r="T54" s="20">
        <f>$I$12*$T$12</f>
        <v>0</v>
      </c>
      <c r="U54" s="20">
        <f>$I$12*$U$12</f>
        <v>-17.564357374004121</v>
      </c>
      <c r="V54" s="20">
        <f>$I$12*$V$12</f>
        <v>0</v>
      </c>
      <c r="X54" s="20">
        <f>$I$12*$X$12</f>
        <v>0</v>
      </c>
      <c r="Y54" s="20">
        <f>$I$12*$Y$12</f>
        <v>0</v>
      </c>
      <c r="Z54" s="20">
        <f>$I$12*$Z$12</f>
        <v>0</v>
      </c>
      <c r="AA54" s="20">
        <f>$I$12*$AA$12</f>
        <v>0</v>
      </c>
      <c r="AB54" s="20">
        <f>$I$12*$AB$12</f>
        <v>0</v>
      </c>
      <c r="AC54" s="20">
        <f>$I$12*$AC$12</f>
        <v>696.89360407196739</v>
      </c>
      <c r="AD54" s="20">
        <f>$I$12*$AD$12</f>
        <v>0</v>
      </c>
      <c r="AE54" s="20">
        <f>$I$12*$AE$12</f>
        <v>0</v>
      </c>
      <c r="AF54" s="20">
        <f>$I$12*$AF$12</f>
        <v>0</v>
      </c>
      <c r="AG54" s="20">
        <f>$I$12*$AG$12</f>
        <v>0</v>
      </c>
      <c r="AH54" s="20">
        <f>$I$12*$AH$12</f>
        <v>0</v>
      </c>
    </row>
    <row r="55" spans="1:34" ht="11.25" customHeight="1" x14ac:dyDescent="0.25">
      <c r="A55" s="9" t="s">
        <v>22</v>
      </c>
      <c r="B55" s="9" t="s">
        <v>812</v>
      </c>
      <c r="C55" s="9" t="s">
        <v>813</v>
      </c>
      <c r="D55" s="9" t="s">
        <v>826</v>
      </c>
      <c r="E55" s="9" t="s">
        <v>827</v>
      </c>
      <c r="F55" s="9" t="s">
        <v>828</v>
      </c>
      <c r="G55" s="9" t="s">
        <v>829</v>
      </c>
      <c r="L55" s="20">
        <f>$I$13*$L$13</f>
        <v>0</v>
      </c>
      <c r="M55" s="20">
        <f>$I$13*$M$13</f>
        <v>0</v>
      </c>
      <c r="N55" s="20">
        <f>$I$13*$N$13</f>
        <v>0</v>
      </c>
      <c r="O55" s="20">
        <f>$I$13*$O$13</f>
        <v>0</v>
      </c>
      <c r="P55" s="20">
        <f>$I$13*$P$13</f>
        <v>0</v>
      </c>
      <c r="Q55" s="20">
        <f>$I$13*$Q$13</f>
        <v>26.567425714252629</v>
      </c>
      <c r="R55" s="20">
        <f>$I$13*$R$13</f>
        <v>0</v>
      </c>
      <c r="S55" s="20">
        <f>$I$13*$S$13</f>
        <v>0</v>
      </c>
      <c r="T55" s="20">
        <f>$I$13*$T$13</f>
        <v>0</v>
      </c>
      <c r="U55" s="20">
        <f>$I$13*$U$13</f>
        <v>-0.6570208494016504</v>
      </c>
      <c r="V55" s="20">
        <f>$I$13*$V$13</f>
        <v>0</v>
      </c>
      <c r="X55" s="20">
        <f>$I$13*$X$13</f>
        <v>0</v>
      </c>
      <c r="Y55" s="20">
        <f>$I$13*$Y$13</f>
        <v>0</v>
      </c>
      <c r="Z55" s="20">
        <f>$I$13*$Z$13</f>
        <v>0</v>
      </c>
      <c r="AA55" s="20">
        <f>$I$13*$AA$13</f>
        <v>0</v>
      </c>
      <c r="AB55" s="20">
        <f>$I$13*$AB$13</f>
        <v>0</v>
      </c>
      <c r="AC55" s="20">
        <f>$I$13*$AC$13</f>
        <v>26.068339304437799</v>
      </c>
      <c r="AD55" s="20">
        <f>$I$13*$AD$13</f>
        <v>0</v>
      </c>
      <c r="AE55" s="20">
        <f>$I$13*$AE$13</f>
        <v>0</v>
      </c>
      <c r="AF55" s="20">
        <f>$I$13*$AF$13</f>
        <v>0</v>
      </c>
      <c r="AG55" s="20">
        <f>$I$13*$AG$13</f>
        <v>0</v>
      </c>
      <c r="AH55" s="20">
        <f>$I$13*$AH$13</f>
        <v>0</v>
      </c>
    </row>
    <row r="56" spans="1:34" ht="11.25" customHeight="1" x14ac:dyDescent="0.25">
      <c r="A56" s="9" t="s">
        <v>22</v>
      </c>
      <c r="B56" s="9" t="s">
        <v>812</v>
      </c>
      <c r="C56" s="9" t="s">
        <v>813</v>
      </c>
      <c r="D56" s="9" t="s">
        <v>830</v>
      </c>
      <c r="E56" s="9" t="s">
        <v>831</v>
      </c>
      <c r="F56" s="9" t="s">
        <v>832</v>
      </c>
      <c r="G56" s="9" t="s">
        <v>833</v>
      </c>
      <c r="L56" s="20">
        <f>$I$14*$L$14</f>
        <v>0</v>
      </c>
      <c r="M56" s="20">
        <f>$I$14*$M$14</f>
        <v>0</v>
      </c>
      <c r="N56" s="20">
        <f>$I$14*$N$14</f>
        <v>0</v>
      </c>
      <c r="O56" s="20">
        <f>$I$14*$O$14</f>
        <v>0</v>
      </c>
      <c r="P56" s="20">
        <f>$I$14*$P$14</f>
        <v>0</v>
      </c>
      <c r="Q56" s="20">
        <f>$I$14*$Q$14</f>
        <v>78.472303730061014</v>
      </c>
      <c r="R56" s="20">
        <f>$I$14*$R$14</f>
        <v>0</v>
      </c>
      <c r="S56" s="20">
        <f>$I$14*$S$14</f>
        <v>0</v>
      </c>
      <c r="T56" s="20">
        <f>$I$14*$T$14</f>
        <v>0</v>
      </c>
      <c r="U56" s="20">
        <f>$I$14*$U$14</f>
        <v>-1.9406449162882082</v>
      </c>
      <c r="V56" s="20">
        <f>$I$14*$V$14</f>
        <v>0</v>
      </c>
      <c r="X56" s="20">
        <f>$I$14*$X$14</f>
        <v>0</v>
      </c>
      <c r="Y56" s="20">
        <f>$I$14*$Y$14</f>
        <v>0</v>
      </c>
      <c r="Z56" s="20">
        <f>$I$14*$Z$14</f>
        <v>0</v>
      </c>
      <c r="AA56" s="20">
        <f>$I$14*$AA$14</f>
        <v>0</v>
      </c>
      <c r="AB56" s="20">
        <f>$I$14*$AB$14</f>
        <v>0</v>
      </c>
      <c r="AC56" s="20">
        <f>$I$14*$AC$14</f>
        <v>76.998150352922508</v>
      </c>
      <c r="AD56" s="20">
        <f>$I$14*$AD$14</f>
        <v>0</v>
      </c>
      <c r="AE56" s="20">
        <f>$I$14*$AE$14</f>
        <v>0</v>
      </c>
      <c r="AF56" s="20">
        <f>$I$14*$AF$14</f>
        <v>0</v>
      </c>
      <c r="AG56" s="20">
        <f>$I$14*$AG$14</f>
        <v>0</v>
      </c>
      <c r="AH56" s="20">
        <f>$I$14*$AH$14</f>
        <v>0</v>
      </c>
    </row>
    <row r="57" spans="1:34" ht="11.25" customHeight="1" x14ac:dyDescent="0.25">
      <c r="A57" s="9" t="s">
        <v>22</v>
      </c>
      <c r="B57" s="9" t="s">
        <v>834</v>
      </c>
      <c r="C57" s="9" t="s">
        <v>835</v>
      </c>
      <c r="D57" s="9" t="s">
        <v>836</v>
      </c>
      <c r="E57" s="9" t="s">
        <v>837</v>
      </c>
      <c r="F57" s="9" t="s">
        <v>838</v>
      </c>
      <c r="G57" s="9" t="s">
        <v>839</v>
      </c>
      <c r="L57" s="20">
        <f>$I$15*$L$15</f>
        <v>0</v>
      </c>
      <c r="M57" s="20">
        <f>$I$15*$M$15</f>
        <v>0</v>
      </c>
      <c r="N57" s="20">
        <f>$I$15*$N$15</f>
        <v>0</v>
      </c>
      <c r="O57" s="20">
        <f>$I$15*$O$15</f>
        <v>0</v>
      </c>
      <c r="P57" s="20">
        <f>$I$15*$P$15</f>
        <v>0</v>
      </c>
      <c r="Q57" s="20">
        <f>$I$15*$Q$15</f>
        <v>0</v>
      </c>
      <c r="R57" s="20">
        <f>$I$15*$R$15</f>
        <v>0</v>
      </c>
      <c r="S57" s="20">
        <f>$I$15*$S$15</f>
        <v>0</v>
      </c>
      <c r="T57" s="20">
        <f>$I$15*$T$15</f>
        <v>0</v>
      </c>
      <c r="U57" s="20">
        <f>$I$15*$U$15</f>
        <v>0</v>
      </c>
      <c r="V57" s="20">
        <f>$I$15*$V$15</f>
        <v>0</v>
      </c>
      <c r="X57" s="20">
        <f>$I$15*$X$15</f>
        <v>0</v>
      </c>
      <c r="Y57" s="20">
        <f>$I$15*$Y$15</f>
        <v>0</v>
      </c>
      <c r="Z57" s="20">
        <f>$I$15*$Z$15</f>
        <v>0</v>
      </c>
      <c r="AA57" s="20">
        <f>$I$15*$AA$15</f>
        <v>0</v>
      </c>
      <c r="AB57" s="20">
        <f>$I$15*$AB$15</f>
        <v>0</v>
      </c>
      <c r="AC57" s="20">
        <f>$I$15*$AC$15</f>
        <v>0</v>
      </c>
      <c r="AD57" s="20">
        <f>$I$15*$AD$15</f>
        <v>0</v>
      </c>
      <c r="AE57" s="20">
        <f>$I$15*$AE$15</f>
        <v>0</v>
      </c>
      <c r="AF57" s="20">
        <f>$I$15*$AF$15</f>
        <v>0</v>
      </c>
      <c r="AG57" s="20">
        <f>$I$15*$AG$15</f>
        <v>0</v>
      </c>
      <c r="AH57" s="20">
        <f>$I$15*$AH$15</f>
        <v>0</v>
      </c>
    </row>
    <row r="58" spans="1:34" ht="11.25" customHeight="1" x14ac:dyDescent="0.25">
      <c r="A58" s="9" t="s">
        <v>22</v>
      </c>
      <c r="B58" s="9" t="s">
        <v>834</v>
      </c>
      <c r="C58" s="9" t="s">
        <v>835</v>
      </c>
      <c r="D58" s="9" t="s">
        <v>840</v>
      </c>
      <c r="E58" s="9" t="s">
        <v>841</v>
      </c>
      <c r="F58" s="9" t="s">
        <v>842</v>
      </c>
      <c r="G58" s="9" t="s">
        <v>843</v>
      </c>
      <c r="L58" s="20">
        <f>$I$16*$L$16</f>
        <v>0</v>
      </c>
      <c r="M58" s="20">
        <f>$I$16*$M$16</f>
        <v>0</v>
      </c>
      <c r="N58" s="20">
        <f>$I$16*$N$16</f>
        <v>0</v>
      </c>
      <c r="O58" s="20">
        <f>$I$16*$O$16</f>
        <v>0</v>
      </c>
      <c r="P58" s="20">
        <f>$I$16*$P$16</f>
        <v>0</v>
      </c>
      <c r="Q58" s="20">
        <f>$I$16*$Q$16</f>
        <v>0</v>
      </c>
      <c r="R58" s="20">
        <f>$I$16*$R$16</f>
        <v>0</v>
      </c>
      <c r="S58" s="20">
        <f>$I$16*$S$16</f>
        <v>0</v>
      </c>
      <c r="T58" s="20">
        <f>$I$16*$T$16</f>
        <v>0</v>
      </c>
      <c r="U58" s="20">
        <f>$I$16*$U$16</f>
        <v>0</v>
      </c>
      <c r="V58" s="20">
        <f>$I$16*$V$16</f>
        <v>0</v>
      </c>
      <c r="X58" s="20">
        <f>$I$16*$X$16</f>
        <v>0</v>
      </c>
      <c r="Y58" s="20">
        <f>$I$16*$Y$16</f>
        <v>0</v>
      </c>
      <c r="Z58" s="20">
        <f>$I$16*$Z$16</f>
        <v>0</v>
      </c>
      <c r="AA58" s="20">
        <f>$I$16*$AA$16</f>
        <v>0</v>
      </c>
      <c r="AB58" s="20">
        <f>$I$16*$AB$16</f>
        <v>0</v>
      </c>
      <c r="AC58" s="20">
        <f>$I$16*$AC$16</f>
        <v>0</v>
      </c>
      <c r="AD58" s="20">
        <f>$I$16*$AD$16</f>
        <v>0</v>
      </c>
      <c r="AE58" s="20">
        <f>$I$16*$AE$16</f>
        <v>0</v>
      </c>
      <c r="AF58" s="20">
        <f>$I$16*$AF$16</f>
        <v>0</v>
      </c>
      <c r="AG58" s="20">
        <f>$I$16*$AG$16</f>
        <v>0</v>
      </c>
      <c r="AH58" s="20">
        <f>$I$16*$AH$16</f>
        <v>0</v>
      </c>
    </row>
    <row r="59" spans="1:34" ht="11.25" customHeight="1" x14ac:dyDescent="0.25">
      <c r="A59" s="9" t="s">
        <v>22</v>
      </c>
      <c r="B59" s="9" t="s">
        <v>834</v>
      </c>
      <c r="C59" s="9" t="s">
        <v>835</v>
      </c>
      <c r="D59" s="9" t="s">
        <v>844</v>
      </c>
      <c r="E59" s="9" t="s">
        <v>845</v>
      </c>
      <c r="F59" s="9" t="s">
        <v>846</v>
      </c>
      <c r="G59" s="9" t="s">
        <v>847</v>
      </c>
      <c r="L59" s="20">
        <f>$I$17*$L$17</f>
        <v>0</v>
      </c>
      <c r="M59" s="20">
        <f>$I$17*$M$17</f>
        <v>0</v>
      </c>
      <c r="N59" s="20">
        <f>$I$17*$N$17</f>
        <v>0</v>
      </c>
      <c r="O59" s="20">
        <f>$I$17*$O$17</f>
        <v>0</v>
      </c>
      <c r="P59" s="20">
        <f>$I$17*$P$17</f>
        <v>0</v>
      </c>
      <c r="Q59" s="20">
        <f>$I$17*$Q$17</f>
        <v>0</v>
      </c>
      <c r="R59" s="20">
        <f>$I$17*$R$17</f>
        <v>0</v>
      </c>
      <c r="S59" s="20">
        <f>$I$17*$S$17</f>
        <v>0</v>
      </c>
      <c r="T59" s="20">
        <f>$I$17*$T$17</f>
        <v>0</v>
      </c>
      <c r="U59" s="20">
        <f>$I$17*$U$17</f>
        <v>0</v>
      </c>
      <c r="V59" s="20">
        <f>$I$17*$V$17</f>
        <v>0</v>
      </c>
      <c r="X59" s="20">
        <f>$I$17*$X$17</f>
        <v>0</v>
      </c>
      <c r="Y59" s="20">
        <f>$I$17*$Y$17</f>
        <v>0</v>
      </c>
      <c r="Z59" s="20">
        <f>$I$17*$Z$17</f>
        <v>0</v>
      </c>
      <c r="AA59" s="20">
        <f>$I$17*$AA$17</f>
        <v>0</v>
      </c>
      <c r="AB59" s="20">
        <f>$I$17*$AB$17</f>
        <v>0</v>
      </c>
      <c r="AC59" s="20">
        <f>$I$17*$AC$17</f>
        <v>0</v>
      </c>
      <c r="AD59" s="20">
        <f>$I$17*$AD$17</f>
        <v>0</v>
      </c>
      <c r="AE59" s="20">
        <f>$I$17*$AE$17</f>
        <v>0</v>
      </c>
      <c r="AF59" s="20">
        <f>$I$17*$AF$17</f>
        <v>0</v>
      </c>
      <c r="AG59" s="20">
        <f>$I$17*$AG$17</f>
        <v>0</v>
      </c>
      <c r="AH59" s="20">
        <f>$I$17*$AH$17</f>
        <v>0</v>
      </c>
    </row>
    <row r="60" spans="1:34" ht="11.25" customHeight="1" x14ac:dyDescent="0.25">
      <c r="A60" s="9" t="s">
        <v>22</v>
      </c>
      <c r="B60" s="9" t="s">
        <v>834</v>
      </c>
      <c r="C60" s="9" t="s">
        <v>835</v>
      </c>
      <c r="D60" s="9" t="s">
        <v>848</v>
      </c>
      <c r="E60" s="9" t="s">
        <v>849</v>
      </c>
      <c r="F60" s="9" t="s">
        <v>850</v>
      </c>
      <c r="G60" s="9" t="s">
        <v>851</v>
      </c>
      <c r="L60" s="20">
        <f>$I$18*$L$18</f>
        <v>0</v>
      </c>
      <c r="M60" s="20">
        <f>$I$18*$M$18</f>
        <v>0</v>
      </c>
      <c r="N60" s="20">
        <f>$I$18*$N$18</f>
        <v>0</v>
      </c>
      <c r="O60" s="20">
        <f>$I$18*$O$18</f>
        <v>0</v>
      </c>
      <c r="P60" s="20">
        <f>$I$18*$P$18</f>
        <v>0</v>
      </c>
      <c r="Q60" s="20">
        <f>$I$18*$Q$18</f>
        <v>0</v>
      </c>
      <c r="R60" s="20">
        <f>$I$18*$R$18</f>
        <v>0</v>
      </c>
      <c r="S60" s="20">
        <f>$I$18*$S$18</f>
        <v>0</v>
      </c>
      <c r="T60" s="20">
        <f>$I$18*$T$18</f>
        <v>0</v>
      </c>
      <c r="U60" s="20">
        <f>$I$18*$U$18</f>
        <v>0</v>
      </c>
      <c r="V60" s="20">
        <f>$I$18*$V$18</f>
        <v>0</v>
      </c>
      <c r="X60" s="20">
        <f>$I$18*$X$18</f>
        <v>0</v>
      </c>
      <c r="Y60" s="20">
        <f>$I$18*$Y$18</f>
        <v>0</v>
      </c>
      <c r="Z60" s="20">
        <f>$I$18*$Z$18</f>
        <v>0</v>
      </c>
      <c r="AA60" s="20">
        <f>$I$18*$AA$18</f>
        <v>0</v>
      </c>
      <c r="AB60" s="20">
        <f>$I$18*$AB$18</f>
        <v>0</v>
      </c>
      <c r="AC60" s="20">
        <f>$I$18*$AC$18</f>
        <v>0</v>
      </c>
      <c r="AD60" s="20">
        <f>$I$18*$AD$18</f>
        <v>0</v>
      </c>
      <c r="AE60" s="20">
        <f>$I$18*$AE$18</f>
        <v>0</v>
      </c>
      <c r="AF60" s="20">
        <f>$I$18*$AF$18</f>
        <v>0</v>
      </c>
      <c r="AG60" s="20">
        <f>$I$18*$AG$18</f>
        <v>0</v>
      </c>
      <c r="AH60" s="20">
        <f>$I$18*$AH$18</f>
        <v>0</v>
      </c>
    </row>
    <row r="61" spans="1:34" ht="11.25" customHeight="1" x14ac:dyDescent="0.25">
      <c r="A61" s="9" t="s">
        <v>22</v>
      </c>
      <c r="B61" s="9" t="s">
        <v>834</v>
      </c>
      <c r="C61" s="9" t="s">
        <v>835</v>
      </c>
      <c r="D61" s="9" t="s">
        <v>852</v>
      </c>
      <c r="E61" s="9" t="s">
        <v>853</v>
      </c>
      <c r="F61" s="9" t="s">
        <v>854</v>
      </c>
      <c r="G61" s="9" t="s">
        <v>855</v>
      </c>
      <c r="L61" s="20">
        <f>$I$19*$L$19</f>
        <v>0</v>
      </c>
      <c r="M61" s="20">
        <f>$I$19*$M$19</f>
        <v>0</v>
      </c>
      <c r="N61" s="20">
        <f>$I$19*$N$19</f>
        <v>0</v>
      </c>
      <c r="O61" s="20">
        <f>$I$19*$O$19</f>
        <v>0</v>
      </c>
      <c r="P61" s="20">
        <f>$I$19*$P$19</f>
        <v>0</v>
      </c>
      <c r="Q61" s="20">
        <f>$I$19*$Q$19</f>
        <v>0</v>
      </c>
      <c r="R61" s="20">
        <f>$I$19*$R$19</f>
        <v>0</v>
      </c>
      <c r="S61" s="20">
        <f>$I$19*$S$19</f>
        <v>0</v>
      </c>
      <c r="T61" s="20">
        <f>$I$19*$T$19</f>
        <v>0</v>
      </c>
      <c r="U61" s="20">
        <f>$I$19*$U$19</f>
        <v>0</v>
      </c>
      <c r="V61" s="20">
        <f>$I$19*$V$19</f>
        <v>0</v>
      </c>
      <c r="X61" s="20">
        <f>$I$19*$X$19</f>
        <v>0</v>
      </c>
      <c r="Y61" s="20">
        <f>$I$19*$Y$19</f>
        <v>0</v>
      </c>
      <c r="Z61" s="20">
        <f>$I$19*$Z$19</f>
        <v>0</v>
      </c>
      <c r="AA61" s="20">
        <f>$I$19*$AA$19</f>
        <v>0</v>
      </c>
      <c r="AB61" s="20">
        <f>$I$19*$AB$19</f>
        <v>0</v>
      </c>
      <c r="AC61" s="20">
        <f>$I$19*$AC$19</f>
        <v>0</v>
      </c>
      <c r="AD61" s="20">
        <f>$I$19*$AD$19</f>
        <v>0</v>
      </c>
      <c r="AE61" s="20">
        <f>$I$19*$AE$19</f>
        <v>0</v>
      </c>
      <c r="AF61" s="20">
        <f>$I$19*$AF$19</f>
        <v>0</v>
      </c>
      <c r="AG61" s="20">
        <f>$I$19*$AG$19</f>
        <v>0</v>
      </c>
      <c r="AH61" s="20">
        <f>$I$19*$AH$19</f>
        <v>0</v>
      </c>
    </row>
    <row r="62" spans="1:34" ht="11.25" customHeight="1" x14ac:dyDescent="0.25">
      <c r="A62" s="9" t="s">
        <v>39</v>
      </c>
      <c r="B62" s="9" t="s">
        <v>856</v>
      </c>
      <c r="C62" s="9" t="s">
        <v>857</v>
      </c>
      <c r="D62" s="9" t="s">
        <v>858</v>
      </c>
      <c r="E62" s="9" t="s">
        <v>859</v>
      </c>
      <c r="F62" s="9" t="s">
        <v>860</v>
      </c>
      <c r="G62" s="9" t="s">
        <v>861</v>
      </c>
      <c r="L62" s="20">
        <f>$I$20*$L$20</f>
        <v>0</v>
      </c>
      <c r="M62" s="20">
        <f>$I$20*$M$20</f>
        <v>0</v>
      </c>
      <c r="N62" s="20">
        <f>$I$20*$N$20</f>
        <v>0</v>
      </c>
      <c r="O62" s="20">
        <f>$I$20*$O$20</f>
        <v>0</v>
      </c>
      <c r="P62" s="20">
        <f>$I$20*$P$20</f>
        <v>0</v>
      </c>
      <c r="Q62" s="20">
        <f>$I$20*$Q$20</f>
        <v>0</v>
      </c>
      <c r="R62" s="20">
        <f>$I$20*$R$20</f>
        <v>0</v>
      </c>
      <c r="S62" s="20">
        <f>$I$20*$S$20</f>
        <v>0</v>
      </c>
      <c r="T62" s="20">
        <f>$I$20*$T$20</f>
        <v>0</v>
      </c>
      <c r="U62" s="20">
        <f>$I$20*$U$20</f>
        <v>0</v>
      </c>
      <c r="V62" s="20">
        <f>$I$20*$V$20</f>
        <v>0</v>
      </c>
      <c r="X62" s="20">
        <f>$I$20*$X$20</f>
        <v>0</v>
      </c>
      <c r="Y62" s="20">
        <f>$I$20*$Y$20</f>
        <v>0</v>
      </c>
      <c r="Z62" s="20">
        <f>$I$20*$Z$20</f>
        <v>0</v>
      </c>
      <c r="AA62" s="20">
        <f>$I$20*$AA$20</f>
        <v>0</v>
      </c>
      <c r="AB62" s="20">
        <f>$I$20*$AB$20</f>
        <v>0</v>
      </c>
      <c r="AC62" s="20">
        <f>$I$20*$AC$20</f>
        <v>0</v>
      </c>
      <c r="AD62" s="20">
        <f>$I$20*$AD$20</f>
        <v>0</v>
      </c>
      <c r="AE62" s="20">
        <f>$I$20*$AE$20</f>
        <v>0</v>
      </c>
      <c r="AF62" s="20">
        <f>$I$20*$AF$20</f>
        <v>0</v>
      </c>
      <c r="AG62" s="20">
        <f>$I$20*$AG$20</f>
        <v>0</v>
      </c>
      <c r="AH62" s="20">
        <f>$I$20*$AH$20</f>
        <v>0</v>
      </c>
    </row>
    <row r="63" spans="1:34" ht="11.25" customHeight="1" x14ac:dyDescent="0.25">
      <c r="A63" s="9" t="s">
        <v>39</v>
      </c>
      <c r="B63" s="9" t="s">
        <v>856</v>
      </c>
      <c r="C63" s="9" t="s">
        <v>857</v>
      </c>
      <c r="D63" s="9" t="s">
        <v>858</v>
      </c>
      <c r="E63" s="9" t="s">
        <v>859</v>
      </c>
      <c r="F63" s="9" t="s">
        <v>860</v>
      </c>
      <c r="G63" s="9" t="s">
        <v>862</v>
      </c>
      <c r="L63" s="20">
        <f>$I$21*$L$21</f>
        <v>0</v>
      </c>
      <c r="M63" s="20">
        <f>$I$21*$M$21</f>
        <v>0</v>
      </c>
      <c r="N63" s="20">
        <f>$I$21*$N$21</f>
        <v>0</v>
      </c>
      <c r="O63" s="20">
        <f>$I$21*$O$21</f>
        <v>0</v>
      </c>
      <c r="P63" s="20">
        <f>$I$21*$P$21</f>
        <v>0</v>
      </c>
      <c r="Q63" s="20">
        <f>$I$21*$Q$21</f>
        <v>0</v>
      </c>
      <c r="R63" s="20">
        <f>$I$21*$R$21</f>
        <v>0</v>
      </c>
      <c r="S63" s="20">
        <f>$I$21*$S$21</f>
        <v>0</v>
      </c>
      <c r="T63" s="20">
        <f>$I$21*$T$21</f>
        <v>0</v>
      </c>
      <c r="U63" s="20">
        <f>$I$21*$U$21</f>
        <v>0</v>
      </c>
      <c r="V63" s="20">
        <f>$I$21*$V$21</f>
        <v>0</v>
      </c>
      <c r="X63" s="20">
        <f>$I$21*$X$21</f>
        <v>0</v>
      </c>
      <c r="Y63" s="20">
        <f>$I$21*$Y$21</f>
        <v>0</v>
      </c>
      <c r="Z63" s="20">
        <f>$I$21*$Z$21</f>
        <v>0</v>
      </c>
      <c r="AA63" s="20">
        <f>$I$21*$AA$21</f>
        <v>0</v>
      </c>
      <c r="AB63" s="20">
        <f>$I$21*$AB$21</f>
        <v>0</v>
      </c>
      <c r="AC63" s="20">
        <f>$I$21*$AC$21</f>
        <v>0</v>
      </c>
      <c r="AD63" s="20">
        <f>$I$21*$AD$21</f>
        <v>0</v>
      </c>
      <c r="AE63" s="20">
        <f>$I$21*$AE$21</f>
        <v>0</v>
      </c>
      <c r="AF63" s="20">
        <f>$I$21*$AF$21</f>
        <v>0</v>
      </c>
      <c r="AG63" s="20">
        <f>$I$21*$AG$21</f>
        <v>0</v>
      </c>
      <c r="AH63" s="20">
        <f>$I$21*$AH$21</f>
        <v>0</v>
      </c>
    </row>
    <row r="64" spans="1:34" ht="11.25" customHeight="1" x14ac:dyDescent="0.25">
      <c r="A64" s="9" t="s">
        <v>39</v>
      </c>
      <c r="B64" s="9" t="s">
        <v>856</v>
      </c>
      <c r="C64" s="9" t="s">
        <v>857</v>
      </c>
      <c r="D64" s="9" t="s">
        <v>858</v>
      </c>
      <c r="E64" s="9" t="s">
        <v>859</v>
      </c>
      <c r="F64" s="9" t="s">
        <v>860</v>
      </c>
      <c r="G64" s="9" t="s">
        <v>863</v>
      </c>
      <c r="L64" s="20">
        <f>$I$22*$L$22</f>
        <v>0</v>
      </c>
      <c r="M64" s="20">
        <f>$I$22*$M$22</f>
        <v>0</v>
      </c>
      <c r="N64" s="20">
        <f>$I$22*$N$22</f>
        <v>0</v>
      </c>
      <c r="O64" s="20">
        <f>$I$22*$O$22</f>
        <v>0</v>
      </c>
      <c r="P64" s="20">
        <f>$I$22*$P$22</f>
        <v>0</v>
      </c>
      <c r="Q64" s="20">
        <f>$I$22*$Q$22</f>
        <v>0</v>
      </c>
      <c r="R64" s="20">
        <f>$I$22*$R$22</f>
        <v>0</v>
      </c>
      <c r="S64" s="20">
        <f>$I$22*$S$22</f>
        <v>0</v>
      </c>
      <c r="T64" s="20">
        <f>$I$22*$T$22</f>
        <v>0</v>
      </c>
      <c r="U64" s="20">
        <f>$I$22*$U$22</f>
        <v>0</v>
      </c>
      <c r="V64" s="20">
        <f>$I$22*$V$22</f>
        <v>0</v>
      </c>
      <c r="X64" s="20">
        <f>$I$22*$X$22</f>
        <v>0</v>
      </c>
      <c r="Y64" s="20">
        <f>$I$22*$Y$22</f>
        <v>0</v>
      </c>
      <c r="Z64" s="20">
        <f>$I$22*$Z$22</f>
        <v>0</v>
      </c>
      <c r="AA64" s="20">
        <f>$I$22*$AA$22</f>
        <v>0</v>
      </c>
      <c r="AB64" s="20">
        <f>$I$22*$AB$22</f>
        <v>0</v>
      </c>
      <c r="AC64" s="20">
        <f>$I$22*$AC$22</f>
        <v>0</v>
      </c>
      <c r="AD64" s="20">
        <f>$I$22*$AD$22</f>
        <v>0</v>
      </c>
      <c r="AE64" s="20">
        <f>$I$22*$AE$22</f>
        <v>0</v>
      </c>
      <c r="AF64" s="20">
        <f>$I$22*$AF$22</f>
        <v>0</v>
      </c>
      <c r="AG64" s="20">
        <f>$I$22*$AG$22</f>
        <v>0</v>
      </c>
      <c r="AH64" s="20">
        <f>$I$22*$AH$22</f>
        <v>0</v>
      </c>
    </row>
    <row r="65" spans="1:34" ht="11.25" customHeight="1" x14ac:dyDescent="0.25">
      <c r="A65" s="9" t="s">
        <v>39</v>
      </c>
      <c r="B65" s="9" t="s">
        <v>864</v>
      </c>
      <c r="C65" s="9" t="s">
        <v>865</v>
      </c>
      <c r="D65" s="9" t="s">
        <v>866</v>
      </c>
      <c r="E65" s="9" t="s">
        <v>867</v>
      </c>
      <c r="F65" s="9" t="s">
        <v>868</v>
      </c>
      <c r="G65" s="9" t="s">
        <v>869</v>
      </c>
      <c r="L65" s="20">
        <f>$I$23*$L$23</f>
        <v>0</v>
      </c>
      <c r="M65" s="20">
        <f>$I$23*$M$23</f>
        <v>0</v>
      </c>
      <c r="N65" s="20">
        <f>$I$23*$N$23</f>
        <v>0</v>
      </c>
      <c r="O65" s="20">
        <f>$I$23*$O$23</f>
        <v>0</v>
      </c>
      <c r="P65" s="20">
        <f>$I$23*$P$23</f>
        <v>0</v>
      </c>
      <c r="Q65" s="20">
        <f>$I$23*$Q$23</f>
        <v>154599.0973610456</v>
      </c>
      <c r="R65" s="20">
        <f>$I$23*$R$23</f>
        <v>0</v>
      </c>
      <c r="S65" s="20">
        <f>$I$23*$S$23</f>
        <v>0</v>
      </c>
      <c r="T65" s="20">
        <f>$I$23*$T$23</f>
        <v>0</v>
      </c>
      <c r="U65" s="20">
        <f>$I$23*$U$23</f>
        <v>-3823.2846252164645</v>
      </c>
      <c r="V65" s="20">
        <f>$I$23*$V$23</f>
        <v>0</v>
      </c>
      <c r="X65" s="20">
        <f>$I$23*$X$23</f>
        <v>0</v>
      </c>
      <c r="Y65" s="20">
        <f>$I$23*$Y$23</f>
        <v>0</v>
      </c>
      <c r="Z65" s="20">
        <f>$I$23*$Z$23</f>
        <v>0</v>
      </c>
      <c r="AA65" s="20">
        <f>$I$23*$AA$23</f>
        <v>0</v>
      </c>
      <c r="AB65" s="20">
        <f>$I$23*$AB$23</f>
        <v>0</v>
      </c>
      <c r="AC65" s="20">
        <f>$I$23*$AC$23</f>
        <v>142012.20238057102</v>
      </c>
      <c r="AD65" s="20">
        <f>$I$23*$AD$23</f>
        <v>0</v>
      </c>
      <c r="AE65" s="20">
        <f>$I$23*$AE$23</f>
        <v>0</v>
      </c>
      <c r="AF65" s="20">
        <f>$I$23*$AF$23</f>
        <v>0</v>
      </c>
      <c r="AG65" s="20">
        <f>$I$23*$AG$23</f>
        <v>0</v>
      </c>
      <c r="AH65" s="20">
        <f>$I$23*$AH$23</f>
        <v>0</v>
      </c>
    </row>
    <row r="66" spans="1:34" ht="11.25" customHeight="1" x14ac:dyDescent="0.25">
      <c r="A66" s="9" t="s">
        <v>39</v>
      </c>
      <c r="B66" s="9" t="s">
        <v>856</v>
      </c>
      <c r="C66" s="9" t="s">
        <v>857</v>
      </c>
      <c r="D66" s="9" t="s">
        <v>870</v>
      </c>
      <c r="E66" s="9" t="s">
        <v>871</v>
      </c>
      <c r="F66" s="9" t="s">
        <v>872</v>
      </c>
      <c r="G66" s="9" t="s">
        <v>873</v>
      </c>
      <c r="L66" s="20">
        <f>$I$24*$L$24</f>
        <v>0</v>
      </c>
      <c r="M66" s="20">
        <f>$I$24*$M$24</f>
        <v>0</v>
      </c>
      <c r="N66" s="20">
        <f>$I$24*$N$24</f>
        <v>0</v>
      </c>
      <c r="O66" s="20">
        <f>$I$24*$O$24</f>
        <v>0</v>
      </c>
      <c r="P66" s="20">
        <f>$I$24*$P$24</f>
        <v>0</v>
      </c>
      <c r="Q66" s="20">
        <f>$I$24*$Q$24</f>
        <v>0</v>
      </c>
      <c r="R66" s="20">
        <f>$I$24*$R$24</f>
        <v>0</v>
      </c>
      <c r="S66" s="20">
        <f>$I$24*$S$24</f>
        <v>0</v>
      </c>
      <c r="T66" s="20">
        <f>$I$24*$T$24</f>
        <v>0</v>
      </c>
      <c r="U66" s="20">
        <f>$I$24*$U$24</f>
        <v>0</v>
      </c>
      <c r="V66" s="20">
        <f>$I$24*$V$24</f>
        <v>0</v>
      </c>
      <c r="X66" s="20">
        <f>$I$24*$X$24</f>
        <v>0</v>
      </c>
      <c r="Y66" s="20">
        <f>$I$24*$Y$24</f>
        <v>0</v>
      </c>
      <c r="Z66" s="20">
        <f>$I$24*$Z$24</f>
        <v>0</v>
      </c>
      <c r="AA66" s="20">
        <f>$I$24*$AA$24</f>
        <v>0</v>
      </c>
      <c r="AB66" s="20">
        <f>$I$24*$AB$24</f>
        <v>0</v>
      </c>
      <c r="AC66" s="20">
        <f>$I$24*$AC$24</f>
        <v>0</v>
      </c>
      <c r="AD66" s="20">
        <f>$I$24*$AD$24</f>
        <v>0</v>
      </c>
      <c r="AE66" s="20">
        <f>$I$24*$AE$24</f>
        <v>0</v>
      </c>
      <c r="AF66" s="20">
        <f>$I$24*$AF$24</f>
        <v>0</v>
      </c>
      <c r="AG66" s="20">
        <f>$I$24*$AG$24</f>
        <v>0</v>
      </c>
      <c r="AH66" s="20">
        <f>$I$24*$AH$24</f>
        <v>0</v>
      </c>
    </row>
    <row r="67" spans="1:34" ht="11.25" customHeight="1" x14ac:dyDescent="0.25">
      <c r="A67" s="9" t="s">
        <v>39</v>
      </c>
      <c r="B67" s="9" t="s">
        <v>856</v>
      </c>
      <c r="C67" s="9" t="s">
        <v>857</v>
      </c>
      <c r="D67" s="9" t="s">
        <v>870</v>
      </c>
      <c r="E67" s="9" t="s">
        <v>871</v>
      </c>
      <c r="F67" s="9" t="s">
        <v>872</v>
      </c>
      <c r="G67" s="9" t="s">
        <v>874</v>
      </c>
      <c r="L67" s="20">
        <f>$I$25*$L$25</f>
        <v>0</v>
      </c>
      <c r="M67" s="20">
        <f>$I$25*$M$25</f>
        <v>0</v>
      </c>
      <c r="N67" s="20">
        <f>$I$25*$N$25</f>
        <v>0</v>
      </c>
      <c r="O67" s="20">
        <f>$I$25*$O$25</f>
        <v>0</v>
      </c>
      <c r="P67" s="20">
        <f>$I$25*$P$25</f>
        <v>0</v>
      </c>
      <c r="Q67" s="20">
        <f>$I$25*$Q$25</f>
        <v>0</v>
      </c>
      <c r="R67" s="20">
        <f>$I$25*$R$25</f>
        <v>0</v>
      </c>
      <c r="S67" s="20">
        <f>$I$25*$S$25</f>
        <v>0</v>
      </c>
      <c r="T67" s="20">
        <f>$I$25*$T$25</f>
        <v>0</v>
      </c>
      <c r="U67" s="20">
        <f>$I$25*$U$25</f>
        <v>0</v>
      </c>
      <c r="V67" s="20">
        <f>$I$25*$V$25</f>
        <v>0</v>
      </c>
      <c r="X67" s="20">
        <f>$I$25*$X$25</f>
        <v>0</v>
      </c>
      <c r="Y67" s="20">
        <f>$I$25*$Y$25</f>
        <v>0</v>
      </c>
      <c r="Z67" s="20">
        <f>$I$25*$Z$25</f>
        <v>0</v>
      </c>
      <c r="AA67" s="20">
        <f>$I$25*$AA$25</f>
        <v>0</v>
      </c>
      <c r="AB67" s="20">
        <f>$I$25*$AB$25</f>
        <v>0</v>
      </c>
      <c r="AC67" s="20">
        <f>$I$25*$AC$25</f>
        <v>0</v>
      </c>
      <c r="AD67" s="20">
        <f>$I$25*$AD$25</f>
        <v>0</v>
      </c>
      <c r="AE67" s="20">
        <f>$I$25*$AE$25</f>
        <v>0</v>
      </c>
      <c r="AF67" s="20">
        <f>$I$25*$AF$25</f>
        <v>0</v>
      </c>
      <c r="AG67" s="20">
        <f>$I$25*$AG$25</f>
        <v>0</v>
      </c>
      <c r="AH67" s="20">
        <f>$I$25*$AH$25</f>
        <v>0</v>
      </c>
    </row>
    <row r="68" spans="1:34" ht="11.25" customHeight="1" x14ac:dyDescent="0.25">
      <c r="A68" s="9" t="s">
        <v>39</v>
      </c>
      <c r="B68" s="9" t="s">
        <v>856</v>
      </c>
      <c r="C68" s="9" t="s">
        <v>857</v>
      </c>
      <c r="D68" s="9" t="s">
        <v>870</v>
      </c>
      <c r="E68" s="9" t="s">
        <v>871</v>
      </c>
      <c r="F68" s="9" t="s">
        <v>872</v>
      </c>
      <c r="G68" s="9" t="s">
        <v>875</v>
      </c>
      <c r="L68" s="20">
        <f>$I$26*$L$26</f>
        <v>0</v>
      </c>
      <c r="M68" s="20">
        <f>$I$26*$M$26</f>
        <v>0</v>
      </c>
      <c r="N68" s="20">
        <f>$I$26*$N$26</f>
        <v>0</v>
      </c>
      <c r="O68" s="20">
        <f>$I$26*$O$26</f>
        <v>0</v>
      </c>
      <c r="P68" s="20">
        <f>$I$26*$P$26</f>
        <v>0</v>
      </c>
      <c r="Q68" s="20">
        <f>$I$26*$Q$26</f>
        <v>0</v>
      </c>
      <c r="R68" s="20">
        <f>$I$26*$R$26</f>
        <v>0</v>
      </c>
      <c r="S68" s="20">
        <f>$I$26*$S$26</f>
        <v>0</v>
      </c>
      <c r="T68" s="20">
        <f>$I$26*$T$26</f>
        <v>0</v>
      </c>
      <c r="U68" s="20">
        <f>$I$26*$U$26</f>
        <v>0</v>
      </c>
      <c r="V68" s="20">
        <f>$I$26*$V$26</f>
        <v>0</v>
      </c>
      <c r="X68" s="20">
        <f>$I$26*$X$26</f>
        <v>0</v>
      </c>
      <c r="Y68" s="20">
        <f>$I$26*$Y$26</f>
        <v>0</v>
      </c>
      <c r="Z68" s="20">
        <f>$I$26*$Z$26</f>
        <v>0</v>
      </c>
      <c r="AA68" s="20">
        <f>$I$26*$AA$26</f>
        <v>0</v>
      </c>
      <c r="AB68" s="20">
        <f>$I$26*$AB$26</f>
        <v>0</v>
      </c>
      <c r="AC68" s="20">
        <f>$I$26*$AC$26</f>
        <v>0</v>
      </c>
      <c r="AD68" s="20">
        <f>$I$26*$AD$26</f>
        <v>0</v>
      </c>
      <c r="AE68" s="20">
        <f>$I$26*$AE$26</f>
        <v>0</v>
      </c>
      <c r="AF68" s="20">
        <f>$I$26*$AF$26</f>
        <v>0</v>
      </c>
      <c r="AG68" s="20">
        <f>$I$26*$AG$26</f>
        <v>0</v>
      </c>
      <c r="AH68" s="20">
        <f>$I$26*$AH$26</f>
        <v>0</v>
      </c>
    </row>
    <row r="69" spans="1:34" ht="11.25" customHeight="1" x14ac:dyDescent="0.25">
      <c r="A69" s="9" t="s">
        <v>39</v>
      </c>
      <c r="B69" s="9" t="s">
        <v>864</v>
      </c>
      <c r="C69" s="9" t="s">
        <v>865</v>
      </c>
      <c r="D69" s="9" t="s">
        <v>876</v>
      </c>
      <c r="E69" s="9" t="s">
        <v>877</v>
      </c>
      <c r="F69" s="9" t="s">
        <v>878</v>
      </c>
      <c r="G69" s="9" t="s">
        <v>879</v>
      </c>
      <c r="L69" s="20">
        <f>$I$27*$L$27</f>
        <v>0</v>
      </c>
      <c r="M69" s="20">
        <f>$I$27*$M$27</f>
        <v>0</v>
      </c>
      <c r="N69" s="20">
        <f>$I$27*$N$27</f>
        <v>0</v>
      </c>
      <c r="O69" s="20">
        <f>$I$27*$O$27</f>
        <v>0</v>
      </c>
      <c r="P69" s="20">
        <f>$I$27*$P$27</f>
        <v>0</v>
      </c>
      <c r="Q69" s="20">
        <f>$I$27*$Q$27</f>
        <v>0</v>
      </c>
      <c r="R69" s="20">
        <f>$I$27*$R$27</f>
        <v>0</v>
      </c>
      <c r="S69" s="20">
        <f>$I$27*$S$27</f>
        <v>0</v>
      </c>
      <c r="T69" s="20">
        <f>$I$27*$T$27</f>
        <v>0</v>
      </c>
      <c r="U69" s="20">
        <f>$I$27*$U$27</f>
        <v>0</v>
      </c>
      <c r="V69" s="20">
        <f>$I$27*$V$27</f>
        <v>0</v>
      </c>
      <c r="X69" s="20">
        <f>$I$27*$X$27</f>
        <v>0</v>
      </c>
      <c r="Y69" s="20">
        <f>$I$27*$Y$27</f>
        <v>0</v>
      </c>
      <c r="Z69" s="20">
        <f>$I$27*$Z$27</f>
        <v>0</v>
      </c>
      <c r="AA69" s="20">
        <f>$I$27*$AA$27</f>
        <v>0</v>
      </c>
      <c r="AB69" s="20">
        <f>$I$27*$AB$27</f>
        <v>0</v>
      </c>
      <c r="AC69" s="20">
        <f>$I$27*$AC$27</f>
        <v>0</v>
      </c>
      <c r="AD69" s="20">
        <f>$I$27*$AD$27</f>
        <v>0</v>
      </c>
      <c r="AE69" s="20">
        <f>$I$27*$AE$27</f>
        <v>0</v>
      </c>
      <c r="AF69" s="20">
        <f>$I$27*$AF$27</f>
        <v>0</v>
      </c>
      <c r="AG69" s="20">
        <f>$I$27*$AG$27</f>
        <v>0</v>
      </c>
      <c r="AH69" s="20">
        <f>$I$27*$AH$27</f>
        <v>0</v>
      </c>
    </row>
    <row r="70" spans="1:34" ht="11.25" customHeight="1" x14ac:dyDescent="0.25">
      <c r="A70" s="9" t="s">
        <v>39</v>
      </c>
      <c r="B70" s="9" t="s">
        <v>856</v>
      </c>
      <c r="C70" s="9" t="s">
        <v>857</v>
      </c>
      <c r="D70" s="9" t="s">
        <v>880</v>
      </c>
      <c r="E70" s="9" t="s">
        <v>881</v>
      </c>
      <c r="F70" s="9" t="s">
        <v>882</v>
      </c>
      <c r="G70" s="9" t="s">
        <v>883</v>
      </c>
      <c r="L70" s="20">
        <f>$I$28*$L$28</f>
        <v>0</v>
      </c>
      <c r="M70" s="20">
        <f>$I$28*$M$28</f>
        <v>0</v>
      </c>
      <c r="N70" s="20">
        <f>$I$28*$N$28</f>
        <v>0</v>
      </c>
      <c r="O70" s="20">
        <f>$I$28*$O$28</f>
        <v>0</v>
      </c>
      <c r="P70" s="20">
        <f>$I$28*$P$28</f>
        <v>0</v>
      </c>
      <c r="Q70" s="20">
        <f>$I$28*$Q$28</f>
        <v>0</v>
      </c>
      <c r="R70" s="20">
        <f>$I$28*$R$28</f>
        <v>0</v>
      </c>
      <c r="S70" s="20">
        <f>$I$28*$S$28</f>
        <v>0</v>
      </c>
      <c r="T70" s="20">
        <f>$I$28*$T$28</f>
        <v>0</v>
      </c>
      <c r="U70" s="20">
        <f>$I$28*$U$28</f>
        <v>0</v>
      </c>
      <c r="V70" s="20">
        <f>$I$28*$V$28</f>
        <v>0</v>
      </c>
      <c r="X70" s="20">
        <f>$I$28*$X$28</f>
        <v>0</v>
      </c>
      <c r="Y70" s="20">
        <f>$I$28*$Y$28</f>
        <v>0</v>
      </c>
      <c r="Z70" s="20">
        <f>$I$28*$Z$28</f>
        <v>0</v>
      </c>
      <c r="AA70" s="20">
        <f>$I$28*$AA$28</f>
        <v>0</v>
      </c>
      <c r="AB70" s="20">
        <f>$I$28*$AB$28</f>
        <v>0</v>
      </c>
      <c r="AC70" s="20">
        <f>$I$28*$AC$28</f>
        <v>0</v>
      </c>
      <c r="AD70" s="20">
        <f>$I$28*$AD$28</f>
        <v>0</v>
      </c>
      <c r="AE70" s="20">
        <f>$I$28*$AE$28</f>
        <v>0</v>
      </c>
      <c r="AF70" s="20">
        <f>$I$28*$AF$28</f>
        <v>0</v>
      </c>
      <c r="AG70" s="20">
        <f>$I$28*$AG$28</f>
        <v>0</v>
      </c>
      <c r="AH70" s="20">
        <f>$I$28*$AH$28</f>
        <v>0</v>
      </c>
    </row>
    <row r="71" spans="1:34" ht="11.25" customHeight="1" x14ac:dyDescent="0.25">
      <c r="A71" s="9" t="s">
        <v>39</v>
      </c>
      <c r="B71" s="9" t="s">
        <v>856</v>
      </c>
      <c r="C71" s="9" t="s">
        <v>857</v>
      </c>
      <c r="D71" s="9" t="s">
        <v>880</v>
      </c>
      <c r="E71" s="9" t="s">
        <v>881</v>
      </c>
      <c r="F71" s="9" t="s">
        <v>882</v>
      </c>
      <c r="G71" s="9" t="s">
        <v>884</v>
      </c>
      <c r="L71" s="20">
        <f>$I$29*$L$29</f>
        <v>0</v>
      </c>
      <c r="M71" s="20">
        <f>$I$29*$M$29</f>
        <v>0</v>
      </c>
      <c r="N71" s="20">
        <f>$I$29*$N$29</f>
        <v>0</v>
      </c>
      <c r="O71" s="20">
        <f>$I$29*$O$29</f>
        <v>0</v>
      </c>
      <c r="P71" s="20">
        <f>$I$29*$P$29</f>
        <v>0</v>
      </c>
      <c r="Q71" s="20">
        <f>$I$29*$Q$29</f>
        <v>0</v>
      </c>
      <c r="R71" s="20">
        <f>$I$29*$R$29</f>
        <v>0</v>
      </c>
      <c r="S71" s="20">
        <f>$I$29*$S$29</f>
        <v>0</v>
      </c>
      <c r="T71" s="20">
        <f>$I$29*$T$29</f>
        <v>0</v>
      </c>
      <c r="U71" s="20">
        <f>$I$29*$U$29</f>
        <v>0</v>
      </c>
      <c r="V71" s="20">
        <f>$I$29*$V$29</f>
        <v>0</v>
      </c>
      <c r="X71" s="20">
        <f>$I$29*$X$29</f>
        <v>0</v>
      </c>
      <c r="Y71" s="20">
        <f>$I$29*$Y$29</f>
        <v>0</v>
      </c>
      <c r="Z71" s="20">
        <f>$I$29*$Z$29</f>
        <v>0</v>
      </c>
      <c r="AA71" s="20">
        <f>$I$29*$AA$29</f>
        <v>0</v>
      </c>
      <c r="AB71" s="20">
        <f>$I$29*$AB$29</f>
        <v>0</v>
      </c>
      <c r="AC71" s="20">
        <f>$I$29*$AC$29</f>
        <v>0</v>
      </c>
      <c r="AD71" s="20">
        <f>$I$29*$AD$29</f>
        <v>0</v>
      </c>
      <c r="AE71" s="20">
        <f>$I$29*$AE$29</f>
        <v>0</v>
      </c>
      <c r="AF71" s="20">
        <f>$I$29*$AF$29</f>
        <v>0</v>
      </c>
      <c r="AG71" s="20">
        <f>$I$29*$AG$29</f>
        <v>0</v>
      </c>
      <c r="AH71" s="20">
        <f>$I$29*$AH$29</f>
        <v>0</v>
      </c>
    </row>
    <row r="72" spans="1:34" ht="11.25" customHeight="1" x14ac:dyDescent="0.25">
      <c r="A72" s="9" t="s">
        <v>39</v>
      </c>
      <c r="B72" s="9" t="s">
        <v>856</v>
      </c>
      <c r="C72" s="9" t="s">
        <v>857</v>
      </c>
      <c r="D72" s="9" t="s">
        <v>880</v>
      </c>
      <c r="E72" s="9" t="s">
        <v>881</v>
      </c>
      <c r="F72" s="9" t="s">
        <v>882</v>
      </c>
      <c r="G72" s="9" t="s">
        <v>885</v>
      </c>
      <c r="L72" s="20">
        <f>$I$30*$L$30</f>
        <v>0</v>
      </c>
      <c r="M72" s="20">
        <f>$I$30*$M$30</f>
        <v>0</v>
      </c>
      <c r="N72" s="20">
        <f>$I$30*$N$30</f>
        <v>0</v>
      </c>
      <c r="O72" s="20">
        <f>$I$30*$O$30</f>
        <v>0</v>
      </c>
      <c r="P72" s="20">
        <f>$I$30*$P$30</f>
        <v>0</v>
      </c>
      <c r="Q72" s="20">
        <f>$I$30*$Q$30</f>
        <v>0</v>
      </c>
      <c r="R72" s="20">
        <f>$I$30*$R$30</f>
        <v>0</v>
      </c>
      <c r="S72" s="20">
        <f>$I$30*$S$30</f>
        <v>0</v>
      </c>
      <c r="T72" s="20">
        <f>$I$30*$T$30</f>
        <v>0</v>
      </c>
      <c r="U72" s="20">
        <f>$I$30*$U$30</f>
        <v>0</v>
      </c>
      <c r="V72" s="20">
        <f>$I$30*$V$30</f>
        <v>0</v>
      </c>
      <c r="X72" s="20">
        <f>$I$30*$X$30</f>
        <v>0</v>
      </c>
      <c r="Y72" s="20">
        <f>$I$30*$Y$30</f>
        <v>0</v>
      </c>
      <c r="Z72" s="20">
        <f>$I$30*$Z$30</f>
        <v>0</v>
      </c>
      <c r="AA72" s="20">
        <f>$I$30*$AA$30</f>
        <v>0</v>
      </c>
      <c r="AB72" s="20">
        <f>$I$30*$AB$30</f>
        <v>0</v>
      </c>
      <c r="AC72" s="20">
        <f>$I$30*$AC$30</f>
        <v>0</v>
      </c>
      <c r="AD72" s="20">
        <f>$I$30*$AD$30</f>
        <v>0</v>
      </c>
      <c r="AE72" s="20">
        <f>$I$30*$AE$30</f>
        <v>0</v>
      </c>
      <c r="AF72" s="20">
        <f>$I$30*$AF$30</f>
        <v>0</v>
      </c>
      <c r="AG72" s="20">
        <f>$I$30*$AG$30</f>
        <v>0</v>
      </c>
      <c r="AH72" s="20">
        <f>$I$30*$AH$30</f>
        <v>0</v>
      </c>
    </row>
    <row r="73" spans="1:34" ht="11.25" customHeight="1" x14ac:dyDescent="0.25">
      <c r="A73" s="9" t="s">
        <v>39</v>
      </c>
      <c r="B73" s="9" t="s">
        <v>864</v>
      </c>
      <c r="C73" s="9" t="s">
        <v>865</v>
      </c>
      <c r="D73" s="9" t="s">
        <v>886</v>
      </c>
      <c r="E73" s="9" t="s">
        <v>887</v>
      </c>
      <c r="F73" s="9" t="s">
        <v>888</v>
      </c>
      <c r="G73" s="9" t="s">
        <v>889</v>
      </c>
      <c r="L73" s="20">
        <f>$I$31*$L$31</f>
        <v>0</v>
      </c>
      <c r="M73" s="20">
        <f>$I$31*$M$31</f>
        <v>0</v>
      </c>
      <c r="N73" s="20">
        <f>$I$31*$N$31</f>
        <v>0</v>
      </c>
      <c r="O73" s="20">
        <f>$I$31*$O$31</f>
        <v>0</v>
      </c>
      <c r="P73" s="20">
        <f>$I$31*$P$31</f>
        <v>0</v>
      </c>
      <c r="Q73" s="20">
        <f>$I$31*$Q$31</f>
        <v>0</v>
      </c>
      <c r="R73" s="20">
        <f>$I$31*$R$31</f>
        <v>0</v>
      </c>
      <c r="S73" s="20">
        <f>$I$31*$S$31</f>
        <v>0</v>
      </c>
      <c r="T73" s="20">
        <f>$I$31*$T$31</f>
        <v>0</v>
      </c>
      <c r="U73" s="20">
        <f>$I$31*$U$31</f>
        <v>0</v>
      </c>
      <c r="V73" s="20">
        <f>$I$31*$V$31</f>
        <v>0</v>
      </c>
      <c r="X73" s="20">
        <f>$I$31*$X$31</f>
        <v>0</v>
      </c>
      <c r="Y73" s="20">
        <f>$I$31*$Y$31</f>
        <v>0</v>
      </c>
      <c r="Z73" s="20">
        <f>$I$31*$Z$31</f>
        <v>0</v>
      </c>
      <c r="AA73" s="20">
        <f>$I$31*$AA$31</f>
        <v>0</v>
      </c>
      <c r="AB73" s="20">
        <f>$I$31*$AB$31</f>
        <v>0</v>
      </c>
      <c r="AC73" s="20">
        <f>$I$31*$AC$31</f>
        <v>0</v>
      </c>
      <c r="AD73" s="20">
        <f>$I$31*$AD$31</f>
        <v>0</v>
      </c>
      <c r="AE73" s="20">
        <f>$I$31*$AE$31</f>
        <v>0</v>
      </c>
      <c r="AF73" s="20">
        <f>$I$31*$AF$31</f>
        <v>0</v>
      </c>
      <c r="AG73" s="20">
        <f>$I$31*$AG$31</f>
        <v>0</v>
      </c>
      <c r="AH73" s="20">
        <f>$I$31*$AH$31</f>
        <v>0</v>
      </c>
    </row>
    <row r="74" spans="1:34" ht="11.25" customHeight="1" x14ac:dyDescent="0.25">
      <c r="A74" s="9" t="s">
        <v>39</v>
      </c>
      <c r="B74" s="9" t="s">
        <v>890</v>
      </c>
      <c r="C74" s="9" t="s">
        <v>891</v>
      </c>
      <c r="D74" s="9" t="s">
        <v>892</v>
      </c>
      <c r="E74" s="9" t="s">
        <v>893</v>
      </c>
      <c r="F74" s="9" t="s">
        <v>894</v>
      </c>
      <c r="G74" s="9" t="s">
        <v>895</v>
      </c>
      <c r="L74" s="20">
        <f>$I$32*$L$32</f>
        <v>0</v>
      </c>
      <c r="M74" s="20">
        <f>$I$32*$M$32</f>
        <v>0</v>
      </c>
      <c r="N74" s="20">
        <f>$I$32*$N$32</f>
        <v>0</v>
      </c>
      <c r="O74" s="20">
        <f>$I$32*$O$32</f>
        <v>0</v>
      </c>
      <c r="P74" s="20">
        <f>$I$32*$P$32</f>
        <v>0</v>
      </c>
      <c r="Q74" s="20">
        <f>$I$32*$Q$32</f>
        <v>0</v>
      </c>
      <c r="R74" s="20">
        <f>$I$32*$R$32</f>
        <v>0</v>
      </c>
      <c r="S74" s="20">
        <f>$I$32*$S$32</f>
        <v>0</v>
      </c>
      <c r="T74" s="20">
        <f>$I$32*$T$32</f>
        <v>0</v>
      </c>
      <c r="U74" s="20">
        <f>$I$32*$U$32</f>
        <v>0</v>
      </c>
      <c r="V74" s="20">
        <f>$I$32*$V$32</f>
        <v>0</v>
      </c>
      <c r="X74" s="20">
        <f>$I$32*$X$32</f>
        <v>0</v>
      </c>
      <c r="Y74" s="20">
        <f>$I$32*$Y$32</f>
        <v>0</v>
      </c>
      <c r="Z74" s="20">
        <f>$I$32*$Z$32</f>
        <v>0</v>
      </c>
      <c r="AA74" s="20">
        <f>$I$32*$AA$32</f>
        <v>0</v>
      </c>
      <c r="AB74" s="20">
        <f>$I$32*$AB$32</f>
        <v>0</v>
      </c>
      <c r="AC74" s="20">
        <f>$I$32*$AC$32</f>
        <v>0</v>
      </c>
      <c r="AD74" s="20">
        <f>$I$32*$AD$32</f>
        <v>0</v>
      </c>
      <c r="AE74" s="20">
        <f>$I$32*$AE$32</f>
        <v>0</v>
      </c>
      <c r="AF74" s="20">
        <f>$I$32*$AF$32</f>
        <v>0</v>
      </c>
      <c r="AG74" s="20">
        <f>$I$32*$AG$32</f>
        <v>0</v>
      </c>
      <c r="AH74" s="20">
        <f>$I$32*$AH$32</f>
        <v>0</v>
      </c>
    </row>
    <row r="75" spans="1:34" ht="11.25" customHeight="1" x14ac:dyDescent="0.25">
      <c r="A75" s="9" t="s">
        <v>39</v>
      </c>
      <c r="B75" s="9" t="s">
        <v>890</v>
      </c>
      <c r="C75" s="9" t="s">
        <v>891</v>
      </c>
      <c r="D75" s="9" t="s">
        <v>896</v>
      </c>
      <c r="E75" s="9" t="s">
        <v>897</v>
      </c>
      <c r="F75" s="9" t="s">
        <v>898</v>
      </c>
      <c r="G75" s="9" t="s">
        <v>899</v>
      </c>
      <c r="L75" s="20">
        <f>$I$33*$L$33</f>
        <v>0</v>
      </c>
      <c r="M75" s="20">
        <f>$I$33*$M$33</f>
        <v>0</v>
      </c>
      <c r="N75" s="20">
        <f>$I$33*$N$33</f>
        <v>0</v>
      </c>
      <c r="O75" s="20">
        <f>$I$33*$O$33</f>
        <v>0</v>
      </c>
      <c r="P75" s="20">
        <f>$I$33*$P$33</f>
        <v>0</v>
      </c>
      <c r="Q75" s="20">
        <f>$I$33*$Q$33</f>
        <v>0</v>
      </c>
      <c r="R75" s="20">
        <f>$I$33*$R$33</f>
        <v>0</v>
      </c>
      <c r="S75" s="20">
        <f>$I$33*$S$33</f>
        <v>0</v>
      </c>
      <c r="T75" s="20">
        <f>$I$33*$T$33</f>
        <v>0</v>
      </c>
      <c r="U75" s="20">
        <f>$I$33*$U$33</f>
        <v>0</v>
      </c>
      <c r="V75" s="20">
        <f>$I$33*$V$33</f>
        <v>0</v>
      </c>
      <c r="X75" s="20">
        <f>$I$33*$X$33</f>
        <v>0</v>
      </c>
      <c r="Y75" s="20">
        <f>$I$33*$Y$33</f>
        <v>0</v>
      </c>
      <c r="Z75" s="20">
        <f>$I$33*$Z$33</f>
        <v>0</v>
      </c>
      <c r="AA75" s="20">
        <f>$I$33*$AA$33</f>
        <v>0</v>
      </c>
      <c r="AB75" s="20">
        <f>$I$33*$AB$33</f>
        <v>0</v>
      </c>
      <c r="AC75" s="20">
        <f>$I$33*$AC$33</f>
        <v>0</v>
      </c>
      <c r="AD75" s="20">
        <f>$I$33*$AD$33</f>
        <v>0</v>
      </c>
      <c r="AE75" s="20">
        <f>$I$33*$AE$33</f>
        <v>0</v>
      </c>
      <c r="AF75" s="20">
        <f>$I$33*$AF$33</f>
        <v>0</v>
      </c>
      <c r="AG75" s="20">
        <f>$I$33*$AG$33</f>
        <v>0</v>
      </c>
      <c r="AH75" s="20">
        <f>$I$33*$AH$33</f>
        <v>0</v>
      </c>
    </row>
    <row r="76" spans="1:34" ht="11.25" customHeight="1" x14ac:dyDescent="0.25">
      <c r="A76" s="9" t="s">
        <v>39</v>
      </c>
      <c r="B76" s="9" t="s">
        <v>890</v>
      </c>
      <c r="C76" s="9" t="s">
        <v>891</v>
      </c>
      <c r="D76" s="9" t="s">
        <v>900</v>
      </c>
      <c r="E76" s="9" t="s">
        <v>901</v>
      </c>
      <c r="F76" s="9" t="s">
        <v>902</v>
      </c>
      <c r="G76" s="9" t="s">
        <v>903</v>
      </c>
      <c r="L76" s="20">
        <f>$I$34*$L$34</f>
        <v>0</v>
      </c>
      <c r="M76" s="20">
        <f>$I$34*$M$34</f>
        <v>0</v>
      </c>
      <c r="N76" s="20">
        <f>$I$34*$N$34</f>
        <v>0</v>
      </c>
      <c r="O76" s="20">
        <f>$I$34*$O$34</f>
        <v>0</v>
      </c>
      <c r="P76" s="20">
        <f>$I$34*$P$34</f>
        <v>0</v>
      </c>
      <c r="Q76" s="20">
        <f>$I$34*$Q$34</f>
        <v>0</v>
      </c>
      <c r="R76" s="20">
        <f>$I$34*$R$34</f>
        <v>0</v>
      </c>
      <c r="S76" s="20">
        <f>$I$34*$S$34</f>
        <v>0</v>
      </c>
      <c r="T76" s="20">
        <f>$I$34*$T$34</f>
        <v>0</v>
      </c>
      <c r="U76" s="20">
        <f>$I$34*$U$34</f>
        <v>0</v>
      </c>
      <c r="V76" s="20">
        <f>$I$34*$V$34</f>
        <v>0</v>
      </c>
      <c r="X76" s="20">
        <f>$I$34*$X$34</f>
        <v>0</v>
      </c>
      <c r="Y76" s="20">
        <f>$I$34*$Y$34</f>
        <v>0</v>
      </c>
      <c r="Z76" s="20">
        <f>$I$34*$Z$34</f>
        <v>0</v>
      </c>
      <c r="AA76" s="20">
        <f>$I$34*$AA$34</f>
        <v>0</v>
      </c>
      <c r="AB76" s="20">
        <f>$I$34*$AB$34</f>
        <v>0</v>
      </c>
      <c r="AC76" s="20">
        <f>$I$34*$AC$34</f>
        <v>0</v>
      </c>
      <c r="AD76" s="20">
        <f>$I$34*$AD$34</f>
        <v>0</v>
      </c>
      <c r="AE76" s="20">
        <f>$I$34*$AE$34</f>
        <v>0</v>
      </c>
      <c r="AF76" s="20">
        <f>$I$34*$AF$34</f>
        <v>0</v>
      </c>
      <c r="AG76" s="20">
        <f>$I$34*$AG$34</f>
        <v>0</v>
      </c>
      <c r="AH76" s="20">
        <f>$I$34*$AH$34</f>
        <v>0</v>
      </c>
    </row>
    <row r="77" spans="1:34" ht="11.25" customHeight="1" x14ac:dyDescent="0.25">
      <c r="A77" s="9" t="s">
        <v>31</v>
      </c>
      <c r="B77" s="9" t="s">
        <v>904</v>
      </c>
      <c r="C77" s="9" t="s">
        <v>905</v>
      </c>
      <c r="D77" s="9" t="s">
        <v>906</v>
      </c>
      <c r="E77" s="9" t="s">
        <v>907</v>
      </c>
      <c r="F77" s="9" t="s">
        <v>908</v>
      </c>
      <c r="G77" s="9" t="s">
        <v>909</v>
      </c>
      <c r="L77" s="20">
        <f>$I$35*$L$35</f>
        <v>0</v>
      </c>
      <c r="M77" s="20">
        <f>$I$35*$M$35</f>
        <v>0</v>
      </c>
      <c r="N77" s="20">
        <f>$I$35*$N$35</f>
        <v>0</v>
      </c>
      <c r="O77" s="20">
        <f>$I$35*$O$35</f>
        <v>0</v>
      </c>
      <c r="P77" s="20">
        <f>$I$35*$P$35</f>
        <v>0</v>
      </c>
      <c r="Q77" s="20">
        <f>$I$35*$Q$35</f>
        <v>0</v>
      </c>
      <c r="R77" s="20">
        <f>$I$35*$R$35</f>
        <v>0</v>
      </c>
      <c r="S77" s="20">
        <f>$I$35*$S$35</f>
        <v>0</v>
      </c>
      <c r="T77" s="20">
        <f>$I$35*$T$35</f>
        <v>0</v>
      </c>
      <c r="U77" s="20">
        <f>$I$35*$U$35</f>
        <v>0</v>
      </c>
      <c r="V77" s="20">
        <f>$I$35*$V$35</f>
        <v>0</v>
      </c>
      <c r="X77" s="20">
        <f>$I$35*$X$35</f>
        <v>0</v>
      </c>
      <c r="Y77" s="20">
        <f>$I$35*$Y$35</f>
        <v>0</v>
      </c>
      <c r="Z77" s="20">
        <f>$I$35*$Z$35</f>
        <v>0</v>
      </c>
      <c r="AA77" s="20">
        <f>$I$35*$AA$35</f>
        <v>0</v>
      </c>
      <c r="AB77" s="20">
        <f>$I$35*$AB$35</f>
        <v>0</v>
      </c>
      <c r="AC77" s="20">
        <f>$I$35*$AC$35</f>
        <v>0</v>
      </c>
      <c r="AD77" s="20">
        <f>$I$35*$AD$35</f>
        <v>0</v>
      </c>
      <c r="AE77" s="20">
        <f>$I$35*$AE$35</f>
        <v>0</v>
      </c>
      <c r="AF77" s="20">
        <f>$I$35*$AF$35</f>
        <v>0</v>
      </c>
      <c r="AG77" s="20">
        <f>$I$35*$AG$35</f>
        <v>0</v>
      </c>
      <c r="AH77" s="20">
        <f>$I$35*$AH$35</f>
        <v>0</v>
      </c>
    </row>
    <row r="78" spans="1:34" ht="11.25" customHeight="1" x14ac:dyDescent="0.25">
      <c r="A78" s="9" t="s">
        <v>31</v>
      </c>
      <c r="B78" s="9" t="s">
        <v>904</v>
      </c>
      <c r="C78" s="9" t="s">
        <v>905</v>
      </c>
      <c r="D78" s="9" t="s">
        <v>906</v>
      </c>
      <c r="E78" s="9" t="s">
        <v>907</v>
      </c>
      <c r="F78" s="9" t="s">
        <v>908</v>
      </c>
      <c r="G78" s="9" t="s">
        <v>910</v>
      </c>
      <c r="L78" s="20">
        <f>$I$36*$L$36</f>
        <v>0</v>
      </c>
      <c r="M78" s="20">
        <f>$I$36*$M$36</f>
        <v>0</v>
      </c>
      <c r="N78" s="20">
        <f>$I$36*$N$36</f>
        <v>0</v>
      </c>
      <c r="O78" s="20">
        <f>$I$36*$O$36</f>
        <v>0</v>
      </c>
      <c r="P78" s="20">
        <f>$I$36*$P$36</f>
        <v>0</v>
      </c>
      <c r="Q78" s="20">
        <f>$I$36*$Q$36</f>
        <v>0</v>
      </c>
      <c r="R78" s="20">
        <f>$I$36*$R$36</f>
        <v>0</v>
      </c>
      <c r="S78" s="20">
        <f>$I$36*$S$36</f>
        <v>0</v>
      </c>
      <c r="T78" s="20">
        <f>$I$36*$T$36</f>
        <v>0</v>
      </c>
      <c r="U78" s="20">
        <f>$I$36*$U$36</f>
        <v>0</v>
      </c>
      <c r="V78" s="20">
        <f>$I$36*$V$36</f>
        <v>0</v>
      </c>
      <c r="X78" s="20">
        <f>$I$36*$X$36</f>
        <v>0</v>
      </c>
      <c r="Y78" s="20">
        <f>$I$36*$Y$36</f>
        <v>0</v>
      </c>
      <c r="Z78" s="20">
        <f>$I$36*$Z$36</f>
        <v>0</v>
      </c>
      <c r="AA78" s="20">
        <f>$I$36*$AA$36</f>
        <v>0</v>
      </c>
      <c r="AB78" s="20">
        <f>$I$36*$AB$36</f>
        <v>0</v>
      </c>
      <c r="AC78" s="20">
        <f>$I$36*$AC$36</f>
        <v>0</v>
      </c>
      <c r="AD78" s="20">
        <f>$I$36*$AD$36</f>
        <v>0</v>
      </c>
      <c r="AE78" s="20">
        <f>$I$36*$AE$36</f>
        <v>0</v>
      </c>
      <c r="AF78" s="20">
        <f>$I$36*$AF$36</f>
        <v>0</v>
      </c>
      <c r="AG78" s="20">
        <f>$I$36*$AG$36</f>
        <v>0</v>
      </c>
      <c r="AH78" s="20">
        <f>$I$36*$AH$36</f>
        <v>0</v>
      </c>
    </row>
    <row r="79" spans="1:34" ht="11.25" customHeight="1" x14ac:dyDescent="0.25">
      <c r="A79" s="9" t="s">
        <v>31</v>
      </c>
      <c r="B79" s="9" t="s">
        <v>904</v>
      </c>
      <c r="C79" s="9" t="s">
        <v>905</v>
      </c>
      <c r="D79" s="9" t="s">
        <v>906</v>
      </c>
      <c r="E79" s="9" t="s">
        <v>907</v>
      </c>
      <c r="F79" s="9" t="s">
        <v>908</v>
      </c>
      <c r="G79" s="9" t="s">
        <v>911</v>
      </c>
      <c r="L79" s="20">
        <f>$I$37*$L$37</f>
        <v>0</v>
      </c>
      <c r="M79" s="20">
        <f>$I$37*$M$37</f>
        <v>0</v>
      </c>
      <c r="N79" s="20">
        <f>$I$37*$N$37</f>
        <v>0</v>
      </c>
      <c r="O79" s="20">
        <f>$I$37*$O$37</f>
        <v>0</v>
      </c>
      <c r="P79" s="20">
        <f>$I$37*$P$37</f>
        <v>0</v>
      </c>
      <c r="Q79" s="20">
        <f>$I$37*$Q$37</f>
        <v>0</v>
      </c>
      <c r="R79" s="20">
        <f>$I$37*$R$37</f>
        <v>0</v>
      </c>
      <c r="S79" s="20">
        <f>$I$37*$S$37</f>
        <v>0</v>
      </c>
      <c r="T79" s="20">
        <f>$I$37*$T$37</f>
        <v>0</v>
      </c>
      <c r="U79" s="20">
        <f>$I$37*$U$37</f>
        <v>0</v>
      </c>
      <c r="V79" s="20">
        <f>$I$37*$V$37</f>
        <v>0</v>
      </c>
      <c r="X79" s="20">
        <f>$I$37*$X$37</f>
        <v>0</v>
      </c>
      <c r="Y79" s="20">
        <f>$I$37*$Y$37</f>
        <v>0</v>
      </c>
      <c r="Z79" s="20">
        <f>$I$37*$Z$37</f>
        <v>0</v>
      </c>
      <c r="AA79" s="20">
        <f>$I$37*$AA$37</f>
        <v>0</v>
      </c>
      <c r="AB79" s="20">
        <f>$I$37*$AB$37</f>
        <v>0</v>
      </c>
      <c r="AC79" s="20">
        <f>$I$37*$AC$37</f>
        <v>0</v>
      </c>
      <c r="AD79" s="20">
        <f>$I$37*$AD$37</f>
        <v>0</v>
      </c>
      <c r="AE79" s="20">
        <f>$I$37*$AE$37</f>
        <v>0</v>
      </c>
      <c r="AF79" s="20">
        <f>$I$37*$AF$37</f>
        <v>0</v>
      </c>
      <c r="AG79" s="20">
        <f>$I$37*$AG$37</f>
        <v>0</v>
      </c>
      <c r="AH79" s="20">
        <f>$I$37*$AH$37</f>
        <v>0</v>
      </c>
    </row>
    <row r="80" spans="1:34" ht="11.25" customHeight="1" x14ac:dyDescent="0.25">
      <c r="A80" s="9" t="s">
        <v>31</v>
      </c>
      <c r="B80" s="9" t="s">
        <v>912</v>
      </c>
      <c r="C80" s="9" t="s">
        <v>913</v>
      </c>
      <c r="D80" s="9" t="s">
        <v>914</v>
      </c>
      <c r="E80" s="9" t="s">
        <v>915</v>
      </c>
      <c r="F80" s="9" t="s">
        <v>916</v>
      </c>
      <c r="G80" s="9" t="s">
        <v>917</v>
      </c>
      <c r="L80" s="20">
        <f>$I$38*$L$38</f>
        <v>0</v>
      </c>
      <c r="M80" s="20">
        <f>$I$38*$M$38</f>
        <v>0</v>
      </c>
      <c r="N80" s="20">
        <f>$I$38*$N$38</f>
        <v>0</v>
      </c>
      <c r="O80" s="20">
        <f>$I$38*$O$38</f>
        <v>0</v>
      </c>
      <c r="P80" s="20">
        <f>$I$38*$P$38</f>
        <v>0</v>
      </c>
      <c r="Q80" s="20">
        <f>$I$38*$Q$38</f>
        <v>338715.9822608481</v>
      </c>
      <c r="R80" s="20">
        <f>$I$38*$R$38</f>
        <v>0</v>
      </c>
      <c r="S80" s="20">
        <f>$I$38*$S$38</f>
        <v>0</v>
      </c>
      <c r="T80" s="20">
        <f>$I$38*$T$38</f>
        <v>0</v>
      </c>
      <c r="U80" s="20">
        <f>$I$38*$U$38</f>
        <v>-8376.5534818659089</v>
      </c>
      <c r="V80" s="20">
        <f>$I$38*$V$38</f>
        <v>0</v>
      </c>
      <c r="X80" s="20">
        <f>$I$38*$X$38</f>
        <v>0</v>
      </c>
      <c r="Y80" s="20">
        <f>$I$38*$Y$38</f>
        <v>0</v>
      </c>
      <c r="Z80" s="20">
        <f>$I$38*$Z$38</f>
        <v>0</v>
      </c>
      <c r="AA80" s="20">
        <f>$I$38*$AA$38</f>
        <v>0</v>
      </c>
      <c r="AB80" s="20">
        <f>$I$38*$AB$38</f>
        <v>0</v>
      </c>
      <c r="AC80" s="20">
        <f>$I$38*$AC$38</f>
        <v>332352.98174466297</v>
      </c>
      <c r="AD80" s="20">
        <f>$I$38*$AD$38</f>
        <v>0</v>
      </c>
      <c r="AE80" s="20">
        <f>$I$38*$AE$38</f>
        <v>0</v>
      </c>
      <c r="AF80" s="20">
        <f>$I$38*$AF$38</f>
        <v>0</v>
      </c>
      <c r="AG80" s="20">
        <f>$I$38*$AG$38</f>
        <v>0</v>
      </c>
      <c r="AH80" s="20">
        <f>$I$38*$AH$38</f>
        <v>0</v>
      </c>
    </row>
    <row r="81" spans="1:34" ht="11.25" customHeight="1" x14ac:dyDescent="0.25">
      <c r="A81" s="9" t="s">
        <v>31</v>
      </c>
      <c r="B81" s="9" t="s">
        <v>918</v>
      </c>
      <c r="C81" s="9" t="s">
        <v>919</v>
      </c>
      <c r="D81" s="9" t="s">
        <v>920</v>
      </c>
      <c r="E81" s="9" t="s">
        <v>921</v>
      </c>
      <c r="F81" s="9" t="s">
        <v>922</v>
      </c>
      <c r="G81" s="9" t="s">
        <v>923</v>
      </c>
      <c r="L81" s="20">
        <f>$I$39*$L$39</f>
        <v>0</v>
      </c>
      <c r="M81" s="20">
        <f>$I$39*$M$39</f>
        <v>0</v>
      </c>
      <c r="N81" s="20">
        <f>$I$39*$N$39</f>
        <v>0</v>
      </c>
      <c r="O81" s="20">
        <f>$I$39*$O$39</f>
        <v>0</v>
      </c>
      <c r="P81" s="20">
        <f>$I$39*$P$39</f>
        <v>0</v>
      </c>
      <c r="Q81" s="20">
        <f>$I$39*$Q$39</f>
        <v>0</v>
      </c>
      <c r="R81" s="20">
        <f>$I$39*$R$39</f>
        <v>0</v>
      </c>
      <c r="S81" s="20">
        <f>$I$39*$S$39</f>
        <v>0</v>
      </c>
      <c r="T81" s="20">
        <f>$I$39*$T$39</f>
        <v>0</v>
      </c>
      <c r="U81" s="20">
        <f>$I$39*$U$39</f>
        <v>0</v>
      </c>
      <c r="V81" s="20">
        <f>$I$39*$V$39</f>
        <v>0</v>
      </c>
      <c r="X81" s="20">
        <f>$I$39*$X$39</f>
        <v>0</v>
      </c>
      <c r="Y81" s="20">
        <f>$I$39*$Y$39</f>
        <v>0</v>
      </c>
      <c r="Z81" s="20">
        <f>$I$39*$Z$39</f>
        <v>0</v>
      </c>
      <c r="AA81" s="20">
        <f>$I$39*$AA$39</f>
        <v>0</v>
      </c>
      <c r="AB81" s="20">
        <f>$I$39*$AB$39</f>
        <v>0</v>
      </c>
      <c r="AC81" s="20">
        <f>$I$39*$AC$39</f>
        <v>0</v>
      </c>
      <c r="AD81" s="20">
        <f>$I$39*$AD$39</f>
        <v>0</v>
      </c>
      <c r="AE81" s="20">
        <f>$I$39*$AE$39</f>
        <v>0</v>
      </c>
      <c r="AF81" s="20">
        <f>$I$39*$AF$39</f>
        <v>0</v>
      </c>
      <c r="AG81" s="20">
        <f>$I$39*$AG$39</f>
        <v>0</v>
      </c>
      <c r="AH81" s="20">
        <f>$I$39*$AH$39</f>
        <v>0</v>
      </c>
    </row>
    <row r="82" spans="1:34" ht="11.25" customHeight="1" x14ac:dyDescent="0.25">
      <c r="A82" s="9" t="s">
        <v>42</v>
      </c>
      <c r="B82" s="9" t="s">
        <v>924</v>
      </c>
      <c r="C82" s="9" t="s">
        <v>925</v>
      </c>
      <c r="D82" s="9" t="s">
        <v>926</v>
      </c>
      <c r="E82" s="9" t="s">
        <v>927</v>
      </c>
      <c r="F82" s="9" t="s">
        <v>928</v>
      </c>
      <c r="G82" s="9" t="s">
        <v>929</v>
      </c>
      <c r="L82" s="20">
        <f>$I$40*$L$40</f>
        <v>0</v>
      </c>
      <c r="M82" s="20">
        <f>$I$40*$M$40</f>
        <v>0</v>
      </c>
      <c r="N82" s="20">
        <f>$I$40*$N$40</f>
        <v>0</v>
      </c>
      <c r="O82" s="20">
        <f>$I$40*$O$40</f>
        <v>0</v>
      </c>
      <c r="P82" s="20">
        <f>$I$40*$P$40</f>
        <v>0</v>
      </c>
      <c r="Q82" s="20">
        <f>$I$40*$Q$40</f>
        <v>0</v>
      </c>
      <c r="R82" s="20">
        <f>$I$40*$R$40</f>
        <v>0</v>
      </c>
      <c r="S82" s="20">
        <f>$I$40*$S$40</f>
        <v>0</v>
      </c>
      <c r="T82" s="20">
        <f>$I$40*$T$40</f>
        <v>0</v>
      </c>
      <c r="U82" s="20">
        <f>$I$40*$U$40</f>
        <v>0</v>
      </c>
      <c r="V82" s="20">
        <f>$I$40*$V$40</f>
        <v>0</v>
      </c>
      <c r="X82" s="20">
        <f>$I$40*$X$40</f>
        <v>0</v>
      </c>
      <c r="Y82" s="20">
        <f>$I$40*$Y$40</f>
        <v>0</v>
      </c>
      <c r="Z82" s="20">
        <f>$I$40*$Z$40</f>
        <v>0</v>
      </c>
      <c r="AA82" s="20">
        <f>$I$40*$AA$40</f>
        <v>0</v>
      </c>
      <c r="AB82" s="20">
        <f>$I$40*$AB$40</f>
        <v>0</v>
      </c>
      <c r="AC82" s="20">
        <f>$I$40*$AC$40</f>
        <v>0</v>
      </c>
      <c r="AD82" s="20">
        <f>$I$40*$AD$40</f>
        <v>0</v>
      </c>
      <c r="AE82" s="20">
        <f>$I$40*$AE$40</f>
        <v>0</v>
      </c>
      <c r="AF82" s="20">
        <f>$I$40*$AF$40</f>
        <v>0</v>
      </c>
      <c r="AG82" s="20">
        <f>$I$40*$AG$40</f>
        <v>0</v>
      </c>
      <c r="AH82" s="20">
        <f>$I$40*$AH$40</f>
        <v>0</v>
      </c>
    </row>
    <row r="83" spans="1:34" ht="11.25" customHeight="1" x14ac:dyDescent="0.25">
      <c r="A83" s="9" t="s">
        <v>42</v>
      </c>
      <c r="B83" s="9" t="s">
        <v>924</v>
      </c>
      <c r="C83" s="9" t="s">
        <v>925</v>
      </c>
      <c r="D83" s="9" t="s">
        <v>930</v>
      </c>
      <c r="E83" s="9" t="s">
        <v>931</v>
      </c>
      <c r="F83" s="9" t="s">
        <v>932</v>
      </c>
      <c r="G83" s="9" t="s">
        <v>933</v>
      </c>
      <c r="L83" s="20">
        <f>$I$41*$L$41</f>
        <v>0</v>
      </c>
      <c r="M83" s="20">
        <f>$I$41*$M$41</f>
        <v>0</v>
      </c>
      <c r="N83" s="20">
        <f>$I$41*$N$41</f>
        <v>0</v>
      </c>
      <c r="O83" s="20">
        <f>$I$41*$O$41</f>
        <v>0</v>
      </c>
      <c r="P83" s="20">
        <f>$I$41*$P$41</f>
        <v>0</v>
      </c>
      <c r="Q83" s="20">
        <f>$I$41*$Q$41</f>
        <v>80777.372303327953</v>
      </c>
      <c r="R83" s="20">
        <f>$I$41*$R$41</f>
        <v>0</v>
      </c>
      <c r="S83" s="20">
        <f>$I$41*$S$41</f>
        <v>0</v>
      </c>
      <c r="T83" s="20">
        <f>$I$41*$T$41</f>
        <v>0</v>
      </c>
      <c r="U83" s="20">
        <f>$I$41*$U$41</f>
        <v>-1997.6499919107373</v>
      </c>
      <c r="V83" s="20">
        <f>$I$41*$V$41</f>
        <v>0</v>
      </c>
      <c r="X83" s="20">
        <f>$I$41*$X$41</f>
        <v>0</v>
      </c>
      <c r="Y83" s="20">
        <f>$I$41*$Y$41</f>
        <v>0</v>
      </c>
      <c r="Z83" s="20">
        <f>$I$41*$Z$41</f>
        <v>0</v>
      </c>
      <c r="AA83" s="20">
        <f>$I$41*$AA$41</f>
        <v>0</v>
      </c>
      <c r="AB83" s="20">
        <f>$I$41*$AB$41</f>
        <v>0</v>
      </c>
      <c r="AC83" s="20">
        <f>$I$41*$AC$41</f>
        <v>79259.916710499267</v>
      </c>
      <c r="AD83" s="20">
        <f>$I$41*$AD$41</f>
        <v>0</v>
      </c>
      <c r="AE83" s="20">
        <f>$I$41*$AE$41</f>
        <v>0</v>
      </c>
      <c r="AF83" s="20">
        <f>$I$41*$AF$41</f>
        <v>0</v>
      </c>
      <c r="AG83" s="20">
        <f>$I$41*$AG$41</f>
        <v>0</v>
      </c>
      <c r="AH83" s="20">
        <f>$I$41*$AH$41</f>
        <v>0</v>
      </c>
    </row>
  </sheetData>
  <mergeCells count="69">
    <mergeCell ref="F1:F4"/>
    <mergeCell ref="A1:A4"/>
    <mergeCell ref="B1:B4"/>
    <mergeCell ref="C1:C4"/>
    <mergeCell ref="D1:D4"/>
    <mergeCell ref="E1:E4"/>
    <mergeCell ref="H1:H4"/>
    <mergeCell ref="I1:I4"/>
    <mergeCell ref="J1:J4"/>
    <mergeCell ref="L1:V1"/>
    <mergeCell ref="L2:V2"/>
    <mergeCell ref="L3:P3"/>
    <mergeCell ref="R3:T3"/>
    <mergeCell ref="A5:A6"/>
    <mergeCell ref="B5:B6"/>
    <mergeCell ref="C5:C6"/>
    <mergeCell ref="D5:D6"/>
    <mergeCell ref="E5:E6"/>
    <mergeCell ref="A7:A19"/>
    <mergeCell ref="B7:B9"/>
    <mergeCell ref="C7:C9"/>
    <mergeCell ref="D7:D9"/>
    <mergeCell ref="E7:E9"/>
    <mergeCell ref="B10:B14"/>
    <mergeCell ref="C10:C14"/>
    <mergeCell ref="B15:B19"/>
    <mergeCell ref="C15:C19"/>
    <mergeCell ref="A20:A34"/>
    <mergeCell ref="B20:B22"/>
    <mergeCell ref="C20:C22"/>
    <mergeCell ref="D20:D22"/>
    <mergeCell ref="E20:E22"/>
    <mergeCell ref="B24:B26"/>
    <mergeCell ref="C24:C26"/>
    <mergeCell ref="D24:D26"/>
    <mergeCell ref="E24:E26"/>
    <mergeCell ref="X1:AH1"/>
    <mergeCell ref="X2:AH2"/>
    <mergeCell ref="X3:AB3"/>
    <mergeCell ref="AD3:AF3"/>
    <mergeCell ref="B32:B34"/>
    <mergeCell ref="C32:C34"/>
    <mergeCell ref="F24:F26"/>
    <mergeCell ref="B28:B30"/>
    <mergeCell ref="C28:C30"/>
    <mergeCell ref="D28:D30"/>
    <mergeCell ref="E28:E30"/>
    <mergeCell ref="F28:F30"/>
    <mergeCell ref="F20:F22"/>
    <mergeCell ref="F7:F9"/>
    <mergeCell ref="F5:F6"/>
    <mergeCell ref="G1:G4"/>
    <mergeCell ref="E35:E37"/>
    <mergeCell ref="F35:F37"/>
    <mergeCell ref="A40:A41"/>
    <mergeCell ref="B40:B41"/>
    <mergeCell ref="C40:C41"/>
    <mergeCell ref="A35:A39"/>
    <mergeCell ref="B35:B37"/>
    <mergeCell ref="C35:C37"/>
    <mergeCell ref="D35:D37"/>
    <mergeCell ref="L43:V43"/>
    <mergeCell ref="X43:AH43"/>
    <mergeCell ref="L44:V44"/>
    <mergeCell ref="X44:AH44"/>
    <mergeCell ref="L45:P45"/>
    <mergeCell ref="R45:T45"/>
    <mergeCell ref="X45:AB45"/>
    <mergeCell ref="AD45:AF4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441D-BAF7-4861-B884-0B0ED048E52D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2.42578125" style="14" bestFit="1" customWidth="1"/>
    <col min="3" max="7" width="10.28515625" style="14" bestFit="1" customWidth="1"/>
    <col min="8" max="8" width="8.7109375" style="14" bestFit="1" customWidth="1"/>
    <col min="9" max="9" width="8" style="14" bestFit="1" customWidth="1"/>
    <col min="10" max="10" width="7.28515625" style="14" bestFit="1" customWidth="1"/>
    <col min="11" max="11" width="7.140625" style="14" bestFit="1" customWidth="1"/>
    <col min="12" max="12" width="9.5703125" style="14" bestFit="1" customWidth="1"/>
    <col min="13" max="13" width="9.7109375" style="14" bestFit="1" customWidth="1"/>
    <col min="14" max="14" width="10" style="14" bestFit="1" customWidth="1"/>
    <col min="15" max="15" width="7.42578125" style="14" bestFit="1" customWidth="1"/>
    <col min="16" max="16" width="9.7109375" style="14" bestFit="1" customWidth="1"/>
    <col min="17" max="17" width="11" style="14" bestFit="1" customWidth="1"/>
    <col min="18" max="18" width="7.7109375" style="14" bestFit="1" customWidth="1"/>
    <col min="19" max="19" width="7.140625" style="14" bestFit="1" customWidth="1"/>
    <col min="20" max="20" width="14.5703125" style="14" bestFit="1" customWidth="1"/>
    <col min="21" max="21" width="17.7109375" style="14" bestFit="1" customWidth="1"/>
    <col min="22" max="22" width="18.42578125" style="14" bestFit="1" customWidth="1"/>
    <col min="23" max="23" width="6" style="14" bestFit="1" customWidth="1"/>
    <col min="24" max="24" width="10.85546875" style="14" bestFit="1" customWidth="1"/>
    <col min="25" max="26" width="9.140625" style="14"/>
    <col min="27" max="27" width="3" style="14" bestFit="1" customWidth="1"/>
    <col min="28" max="28" width="21.57031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15</v>
      </c>
      <c r="G1" s="14" t="s">
        <v>59</v>
      </c>
      <c r="I1" s="14" t="s">
        <v>941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72</v>
      </c>
      <c r="AB2" s="14" t="s">
        <v>34</v>
      </c>
      <c r="AC2" s="14" t="s">
        <v>24</v>
      </c>
      <c r="AD2" s="14" t="s">
        <v>24</v>
      </c>
      <c r="AE2" s="14" t="s">
        <v>70</v>
      </c>
      <c r="AG2" s="14" t="s">
        <v>67</v>
      </c>
    </row>
    <row r="3" spans="1:33" x14ac:dyDescent="0.2">
      <c r="AA3" s="14" t="s">
        <v>22</v>
      </c>
      <c r="AB3" s="14" t="s">
        <v>71</v>
      </c>
      <c r="AC3" s="14" t="s">
        <v>40</v>
      </c>
      <c r="AD3" s="14" t="s">
        <v>27</v>
      </c>
      <c r="AE3" s="14" t="s">
        <v>73</v>
      </c>
      <c r="AG3" s="14" t="s">
        <v>68</v>
      </c>
    </row>
    <row r="4" spans="1:33" x14ac:dyDescent="0.2">
      <c r="AA4" s="14" t="s">
        <v>39</v>
      </c>
      <c r="AB4" s="14" t="s">
        <v>37</v>
      </c>
      <c r="AC4" s="14" t="s">
        <v>43</v>
      </c>
      <c r="AD4" s="14" t="s">
        <v>28</v>
      </c>
      <c r="AE4" s="14" t="s">
        <v>74</v>
      </c>
      <c r="AG4" s="14" t="s">
        <v>69</v>
      </c>
    </row>
    <row r="5" spans="1:33" x14ac:dyDescent="0.2">
      <c r="A5" s="14" t="s">
        <v>934</v>
      </c>
      <c r="B5" s="14" t="str">
        <f>TUSD!$AI$4</f>
        <v>CDE Covid TUSD</v>
      </c>
      <c r="C5" s="14" t="str">
        <f>TUSD!$AJ$4</f>
        <v>TFSEE</v>
      </c>
      <c r="D5" s="14" t="str">
        <f>TUSD!$AK$4</f>
        <v>P&amp;D</v>
      </c>
      <c r="E5" s="14" t="str">
        <f>TUSD!$AL$4</f>
        <v>ONS</v>
      </c>
      <c r="F5" s="14" t="str">
        <f>TUSD!$AM$4</f>
        <v>CCC</v>
      </c>
      <c r="G5" s="14" t="str">
        <f>TUSD!$AN$4</f>
        <v>CDE</v>
      </c>
      <c r="H5" s="14" t="str">
        <f>TUSD!$AO$4</f>
        <v>PROINFA</v>
      </c>
      <c r="I5" s="14" t="str">
        <f>TUSD!$AP$4</f>
        <v>LIMINAR 1</v>
      </c>
      <c r="J5" s="14" t="str">
        <f>TUSD!$AQ$4</f>
        <v>TUSD RB</v>
      </c>
      <c r="K5" s="14" t="str">
        <f>TUSD!$AR$4</f>
        <v>TUSD FR</v>
      </c>
      <c r="L5" s="14" t="str">
        <f>TUSD!$AS$4</f>
        <v>CONEXAO T</v>
      </c>
      <c r="M5" s="14" t="str">
        <f>TUSD!$AT$4</f>
        <v>CONEXAO D</v>
      </c>
      <c r="N5" s="14" t="str">
        <f>TUSD!$AU$4</f>
        <v>CUSD</v>
      </c>
      <c r="O5" s="14" t="str">
        <f>TUSD!$AV$4</f>
        <v>TUSDG-T</v>
      </c>
      <c r="P5" s="14" t="str">
        <f>TUSD!$AW$4</f>
        <v>TUSDG-ONS</v>
      </c>
      <c r="Q5" s="14" t="str">
        <f>TUSD!$AX$4</f>
        <v>DISTRIBUICAO</v>
      </c>
      <c r="R5" s="14" t="str">
        <f>TUSD!$AY$4</f>
        <v>SUBSIDIO</v>
      </c>
      <c r="S5" s="14" t="str">
        <f>TUSD!$AZ$4</f>
        <v>OUTROS</v>
      </c>
      <c r="T5" s="14" t="str">
        <f>TUSD!$BA$4</f>
        <v>PERDAS TECNICAS</v>
      </c>
      <c r="U5" s="14" t="str">
        <f>TUSD!$BB$4</f>
        <v>PERDAS RB/ PERDAS D</v>
      </c>
      <c r="V5" s="14" t="str">
        <f>TUSD!$BC$4</f>
        <v>PERDAS NAO TECNICAS</v>
      </c>
      <c r="W5" s="14" t="str">
        <f>TUSD!$BD$4</f>
        <v>RI</v>
      </c>
      <c r="X5" s="14" t="s">
        <v>360</v>
      </c>
      <c r="AA5" s="14" t="s">
        <v>31</v>
      </c>
      <c r="AB5" s="14" t="s">
        <v>77</v>
      </c>
      <c r="AD5" s="14" t="s">
        <v>29</v>
      </c>
      <c r="AG5" s="14" t="s">
        <v>9</v>
      </c>
    </row>
    <row r="6" spans="1:33" x14ac:dyDescent="0.2">
      <c r="A6" s="14" t="s">
        <v>935</v>
      </c>
      <c r="B6" s="39">
        <f>SUM(TUSD!$AI$57:'TUSD'!$AI$103)</f>
        <v>0</v>
      </c>
      <c r="C6" s="39">
        <f>SUM(TUSD!$AJ$57:'TUSD'!$AJ$103)</f>
        <v>15900.203535215072</v>
      </c>
      <c r="D6" s="39">
        <f>SUM(TUSD!$AK$57:'TUSD'!$AK$103)</f>
        <v>0</v>
      </c>
      <c r="E6" s="39">
        <f>SUM(TUSD!$AL$57:'TUSD'!$AL$103)</f>
        <v>0</v>
      </c>
      <c r="F6" s="39">
        <f>SUM(TUSD!$AM$57:'TUSD'!$AM$103)</f>
        <v>0</v>
      </c>
      <c r="G6" s="39">
        <f>SUM(TUSD!$AN$57:'TUSD'!$AN$103)</f>
        <v>2768468.0166527061</v>
      </c>
      <c r="H6" s="39">
        <f>SUM(TUSD!$AO$57:'TUSD'!$AO$103)</f>
        <v>492431.12334787956</v>
      </c>
      <c r="I6" s="39">
        <f>SUM(TUSD!$AP$57:'TUSD'!$AP$103)</f>
        <v>0</v>
      </c>
      <c r="J6" s="39">
        <f>SUM(TUSD!$AQ$57:'TUSD'!$AQ$103)</f>
        <v>0</v>
      </c>
      <c r="K6" s="39">
        <f>SUM(TUSD!$AR$57:'TUSD'!$AR$103)</f>
        <v>0</v>
      </c>
      <c r="L6" s="39">
        <f>SUM(TUSD!$AS$57:'TUSD'!$AS$103)</f>
        <v>0</v>
      </c>
      <c r="M6" s="39">
        <f>SUM(TUSD!$AT$57:'TUSD'!$AT$103)</f>
        <v>0</v>
      </c>
      <c r="N6" s="39">
        <f>SUM(TUSD!$AU$57:'TUSD'!$AU$103)</f>
        <v>2203061.2908478007</v>
      </c>
      <c r="O6" s="39">
        <f>SUM(TUSD!$AV$57:'TUSD'!$AV$103)</f>
        <v>0</v>
      </c>
      <c r="P6" s="39">
        <f>SUM(TUSD!$AW$57:'TUSD'!$AW$103)</f>
        <v>0</v>
      </c>
      <c r="Q6" s="39">
        <f>SUM(TUSD!$AX$57:'TUSD'!$AX$103)</f>
        <v>4022463.2960128495</v>
      </c>
      <c r="R6" s="39">
        <f>SUM(TUSD!$AY$57:'TUSD'!$AY$103)</f>
        <v>0</v>
      </c>
      <c r="S6" s="39">
        <f>SUM(TUSD!$AZ$57:'TUSD'!$AZ$103)</f>
        <v>0</v>
      </c>
      <c r="T6" s="39">
        <f>SUM(TUSD!$BA$57:'TUSD'!$BA$103)</f>
        <v>41080.181118605069</v>
      </c>
      <c r="U6" s="39">
        <f>SUM(TUSD!$BB$57:'TUSD'!$BB$103)</f>
        <v>0</v>
      </c>
      <c r="V6" s="39">
        <f>SUM(TUSD!$BC$57:'TUSD'!$BC$103)</f>
        <v>0</v>
      </c>
      <c r="W6" s="39">
        <f>SUM(TUSD!$BD$57:'TUSD'!$BD$103)</f>
        <v>0</v>
      </c>
      <c r="X6" s="39">
        <f t="shared" ref="X6:X11" si="0">SUM(B6:W6)</f>
        <v>9543404.1115150563</v>
      </c>
      <c r="AA6" s="14" t="s">
        <v>42</v>
      </c>
      <c r="AB6" s="14" t="s">
        <v>23</v>
      </c>
      <c r="AD6" s="14" t="s">
        <v>30</v>
      </c>
      <c r="AG6" s="14" t="s">
        <v>64</v>
      </c>
    </row>
    <row r="7" spans="1:33" x14ac:dyDescent="0.2">
      <c r="A7" s="14" t="s">
        <v>936</v>
      </c>
      <c r="B7" s="39">
        <f>SUM(TUSD!$L$57:'TUSD'!$L$103)</f>
        <v>0</v>
      </c>
      <c r="C7" s="39">
        <f>SUM(TUSD!$M$57:'TUSD'!$M$103)</f>
        <v>20236.495327761128</v>
      </c>
      <c r="D7" s="39">
        <f ca="1">SUM(TUSD!$N$57:'TUSD'!$N$103)</f>
        <v>0</v>
      </c>
      <c r="E7" s="39">
        <f>SUM(TUSD!$O$57:'TUSD'!$O$103)</f>
        <v>0</v>
      </c>
      <c r="F7" s="39">
        <f>SUM(TUSD!$P$57:'TUSD'!$P$103)</f>
        <v>0</v>
      </c>
      <c r="G7" s="39">
        <f>SUM(TUSD!$Q$57:'TUSD'!$Q$103)</f>
        <v>4282106.8526884317</v>
      </c>
      <c r="H7" s="39">
        <f>SUM(TUSD!$R$57:'TUSD'!$R$103)</f>
        <v>791730.15607003984</v>
      </c>
      <c r="I7" s="39">
        <f>SUM(TUSD!$S$57:'TUSD'!$S$103)</f>
        <v>0</v>
      </c>
      <c r="J7" s="39">
        <f>SUM(TUSD!$T$57:'TUSD'!$T$103)</f>
        <v>0</v>
      </c>
      <c r="K7" s="39">
        <f>SUM(TUSD!$U$57:'TUSD'!$U$103)</f>
        <v>0</v>
      </c>
      <c r="L7" s="39">
        <f>SUM(TUSD!$V$57:'TUSD'!$V$103)</f>
        <v>0</v>
      </c>
      <c r="M7" s="39">
        <f>SUM(TUSD!$W$57:'TUSD'!$W$103)</f>
        <v>0</v>
      </c>
      <c r="N7" s="39">
        <f>SUM(TUSD!$X$57:'TUSD'!$X$103)</f>
        <v>2218076.6197643625</v>
      </c>
      <c r="O7" s="39">
        <f>SUM(TUSD!$Y$57:'TUSD'!$Y$103)</f>
        <v>0</v>
      </c>
      <c r="P7" s="39">
        <f>SUM(TUSD!$Z$57:'TUSD'!$Z$103)</f>
        <v>0</v>
      </c>
      <c r="Q7" s="39">
        <f>SUM(TUSD!$AA$57:'TUSD'!$AA$103)</f>
        <v>4504643.567816006</v>
      </c>
      <c r="R7" s="39">
        <f ca="1">SUM(TUSD!$AB$57:'TUSD'!$AB$103)</f>
        <v>-304893.28948109172</v>
      </c>
      <c r="S7" s="39">
        <f ca="1">SUM(TUSD!$AC$57:'TUSD'!$AC$103)</f>
        <v>0</v>
      </c>
      <c r="T7" s="39">
        <f>SUM(TUSD!$AD$57:'TUSD'!$AD$103)</f>
        <v>420957.68532731687</v>
      </c>
      <c r="U7" s="39">
        <f>SUM(TUSD!$AE$57:'TUSD'!$AE$103)</f>
        <v>0</v>
      </c>
      <c r="V7" s="39">
        <f ca="1">SUM(TUSD!$AF$57:'TUSD'!$AF$103)</f>
        <v>0</v>
      </c>
      <c r="W7" s="39">
        <f ca="1">SUM(TUSD!$AG$57:'TUSD'!$AG$103)</f>
        <v>0</v>
      </c>
      <c r="X7" s="39">
        <f t="shared" ca="1" si="0"/>
        <v>11932858.087512827</v>
      </c>
      <c r="AB7" s="14" t="s">
        <v>79</v>
      </c>
      <c r="AD7" s="14" t="s">
        <v>80</v>
      </c>
      <c r="AG7" s="14" t="s">
        <v>65</v>
      </c>
    </row>
    <row r="8" spans="1:33" x14ac:dyDescent="0.2">
      <c r="A8" s="14" t="s">
        <v>939</v>
      </c>
      <c r="B8" s="39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39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13411.102411941007</v>
      </c>
      <c r="D8" s="39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0</v>
      </c>
      <c r="E8" s="39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39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39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2475582.9304001252</v>
      </c>
      <c r="H8" s="39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446475.69168716139</v>
      </c>
      <c r="I8" s="39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39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39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39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39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39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1968636.5813044363</v>
      </c>
      <c r="O8" s="39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39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39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3435935.0099231708</v>
      </c>
      <c r="R8" s="39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0</v>
      </c>
      <c r="S8" s="39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39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32428.400998927966</v>
      </c>
      <c r="U8" s="39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39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0</v>
      </c>
      <c r="W8" s="39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39">
        <f t="shared" si="0"/>
        <v>8372469.7167257629</v>
      </c>
      <c r="AD8" s="14" t="s">
        <v>81</v>
      </c>
      <c r="AG8" s="14" t="s">
        <v>75</v>
      </c>
    </row>
    <row r="9" spans="1:33" x14ac:dyDescent="0.2">
      <c r="A9" s="14" t="s">
        <v>940</v>
      </c>
      <c r="B9" s="39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0</v>
      </c>
      <c r="C9" s="39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17094.546208190055</v>
      </c>
      <c r="D9" s="39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39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39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39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3811504.3584524491</v>
      </c>
      <c r="H9" s="39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717332.75693206943</v>
      </c>
      <c r="I9" s="39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39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39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39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39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39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2016949.1691240182</v>
      </c>
      <c r="O9" s="39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39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39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3805245.739158086</v>
      </c>
      <c r="R9" s="39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-266975.57907636161</v>
      </c>
      <c r="S9" s="39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39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348709.20350797218</v>
      </c>
      <c r="U9" s="39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0</v>
      </c>
      <c r="V9" s="39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0</v>
      </c>
      <c r="W9" s="39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39">
        <f t="shared" ca="1" si="0"/>
        <v>10449860.194306426</v>
      </c>
      <c r="AD9" s="14" t="s">
        <v>82</v>
      </c>
    </row>
    <row r="10" spans="1:33" x14ac:dyDescent="0.2">
      <c r="A10" s="14" t="s">
        <v>937</v>
      </c>
      <c r="B10" s="39">
        <f>SUMIF(TUSD!$A$57:'TUSD'!$A$103,$A$2,TUSD!$AI$57:'TUSD'!$AI$103)</f>
        <v>0</v>
      </c>
      <c r="C10" s="39">
        <f>SUMIF(TUSD!$A$57:'TUSD'!$A$103,$A$2,TUSD!$AJ$57:'TUSD'!$AJ$103)</f>
        <v>13411.102411941007</v>
      </c>
      <c r="D10" s="39">
        <f>SUMIF(TUSD!$A$57:'TUSD'!$A$103,$A$2,TUSD!$AK$57:'TUSD'!$AK$103)</f>
        <v>0</v>
      </c>
      <c r="E10" s="39">
        <f>SUMIF(TUSD!$A$57:'TUSD'!$A$103,$A$2,TUSD!$AL$57:'TUSD'!$AL$103)</f>
        <v>0</v>
      </c>
      <c r="F10" s="39">
        <f>SUMIF(TUSD!$A$57:'TUSD'!$A$103,$A$2,TUSD!$AM$57:'TUSD'!$AM$103)</f>
        <v>0</v>
      </c>
      <c r="G10" s="39">
        <f>SUMIF(TUSD!$A$57:'TUSD'!$A$103,$A$2,TUSD!$AN$57:'TUSD'!$AN$103)</f>
        <v>2475582.9304001252</v>
      </c>
      <c r="H10" s="39">
        <f>SUMIF(TUSD!$A$57:'TUSD'!$A$103,$A$2,TUSD!$AO$57:'TUSD'!$AO$103)</f>
        <v>446475.69168716139</v>
      </c>
      <c r="I10" s="39">
        <f>SUMIF(TUSD!$A$57:'TUSD'!$A$103,$A$2,TUSD!$AP$57:'TUSD'!$AP$103)</f>
        <v>0</v>
      </c>
      <c r="J10" s="39">
        <f>SUMIF(TUSD!$A$57:'TUSD'!$A$103,$A$2,TUSD!$AQ$57:'TUSD'!$AQ$103)</f>
        <v>0</v>
      </c>
      <c r="K10" s="39">
        <f>SUMIF(TUSD!$A$57:'TUSD'!$A$103,$A$2,TUSD!$AR$57:'TUSD'!$AR$103)</f>
        <v>0</v>
      </c>
      <c r="L10" s="39">
        <f>SUMIF(TUSD!$A$57:'TUSD'!$A$103,$A$2,TUSD!$AS$57:'TUSD'!$AS$103)</f>
        <v>0</v>
      </c>
      <c r="M10" s="39">
        <f>SUMIF(TUSD!$A$57:'TUSD'!$A$103,$A$2,TUSD!$AT$57:'TUSD'!$AT$103)</f>
        <v>0</v>
      </c>
      <c r="N10" s="39">
        <f>SUMIF(TUSD!$A$57:'TUSD'!$A$103,$A$2,TUSD!$AU$57:'TUSD'!$AU$103)</f>
        <v>1968636.5813044363</v>
      </c>
      <c r="O10" s="39">
        <f>SUMIF(TUSD!$A$57:'TUSD'!$A$103,$A$2,TUSD!$AV$57:'TUSD'!$AV$103)</f>
        <v>0</v>
      </c>
      <c r="P10" s="39">
        <f>SUMIF(TUSD!$A$57:'TUSD'!$A$103,$A$2,TUSD!$AW$57:'TUSD'!$AW$103)</f>
        <v>0</v>
      </c>
      <c r="Q10" s="39">
        <f>SUMIF(TUSD!$A$57:'TUSD'!$A$103,$A$2,TUSD!$AX$57:'TUSD'!$AX$103)</f>
        <v>3435935.0099231708</v>
      </c>
      <c r="R10" s="39">
        <f>SUMIF(TUSD!$A$57:'TUSD'!$A$103,$A$2,TUSD!$AY$57:'TUSD'!$AY$103)</f>
        <v>0</v>
      </c>
      <c r="S10" s="39">
        <f>SUMIF(TUSD!$A$57:'TUSD'!$A$103,$A$2,TUSD!$AZ$57:'TUSD'!$AZ$103)</f>
        <v>0</v>
      </c>
      <c r="T10" s="39">
        <f>SUMIF(TUSD!$A$57:'TUSD'!$A$103,$A$2,TUSD!$BA$57:'TUSD'!$BA$103)</f>
        <v>32428.400998927966</v>
      </c>
      <c r="U10" s="39">
        <f>SUMIF(TUSD!$A$57:'TUSD'!$A$103,$A$2,TUSD!$BB$57:'TUSD'!$BB$103)</f>
        <v>0</v>
      </c>
      <c r="V10" s="39">
        <f>SUMIF(TUSD!$A$57:'TUSD'!$A$103,$A$2,TUSD!$BC$57:'TUSD'!$BC$103)</f>
        <v>0</v>
      </c>
      <c r="W10" s="39">
        <f>SUMIF(TUSD!$A$57:'TUSD'!$A$103,$A$2,TUSD!$BD$57:'TUSD'!$BD$103)</f>
        <v>0</v>
      </c>
      <c r="X10" s="39">
        <f t="shared" si="0"/>
        <v>8372469.7167257629</v>
      </c>
      <c r="AD10" s="14" t="s">
        <v>44</v>
      </c>
    </row>
    <row r="11" spans="1:33" x14ac:dyDescent="0.2">
      <c r="A11" s="14" t="s">
        <v>938</v>
      </c>
      <c r="B11" s="39">
        <f>SUMIF(TUSD!$A$57:'TUSD'!$A$103,$A$2,TUSD!$L$57:'TUSD'!$L$103)</f>
        <v>0</v>
      </c>
      <c r="C11" s="39">
        <f>SUMIF(TUSD!$A$57:'TUSD'!$A$103,$A$2,TUSD!$M$57:'TUSD'!$M$103)</f>
        <v>17094.546208190055</v>
      </c>
      <c r="D11" s="39">
        <f ca="1">SUMIF(TUSD!$A$57:'TUSD'!$A$103,$A$2,TUSD!$N$57:'TUSD'!$N$103)</f>
        <v>0</v>
      </c>
      <c r="E11" s="39">
        <f>SUMIF(TUSD!$A$57:'TUSD'!$A$103,$A$2,TUSD!$O$57:'TUSD'!$O$103)</f>
        <v>0</v>
      </c>
      <c r="F11" s="39">
        <f>SUMIF(TUSD!$A$57:'TUSD'!$A$103,$A$2,TUSD!$P$57:'TUSD'!$P$103)</f>
        <v>0</v>
      </c>
      <c r="G11" s="39">
        <f>SUMIF(TUSD!$A$57:'TUSD'!$A$103,$A$2,TUSD!$Q$57:'TUSD'!$Q$103)</f>
        <v>3811504.3584524491</v>
      </c>
      <c r="H11" s="39">
        <f>SUMIF(TUSD!$A$57:'TUSD'!$A$103,$A$2,TUSD!$R$57:'TUSD'!$R$103)</f>
        <v>717332.75693206943</v>
      </c>
      <c r="I11" s="39">
        <f>SUMIF(TUSD!$A$57:'TUSD'!$A$103,$A$2,TUSD!$S$57:'TUSD'!$S$103)</f>
        <v>0</v>
      </c>
      <c r="J11" s="39">
        <f>SUMIF(TUSD!$A$57:'TUSD'!$A$103,$A$2,TUSD!$T$57:'TUSD'!$T$103)</f>
        <v>0</v>
      </c>
      <c r="K11" s="39">
        <f>SUMIF(TUSD!$A$57:'TUSD'!$A$103,$A$2,TUSD!$U$57:'TUSD'!$U$103)</f>
        <v>0</v>
      </c>
      <c r="L11" s="39">
        <f>SUMIF(TUSD!$A$57:'TUSD'!$A$103,$A$2,TUSD!$V$57:'TUSD'!$V$103)</f>
        <v>0</v>
      </c>
      <c r="M11" s="39">
        <f>SUMIF(TUSD!$A$57:'TUSD'!$A$103,$A$2,TUSD!$W$57:'TUSD'!$W$103)</f>
        <v>0</v>
      </c>
      <c r="N11" s="39">
        <f>SUMIF(TUSD!$A$57:'TUSD'!$A$103,$A$2,TUSD!$X$57:'TUSD'!$X$103)</f>
        <v>2016949.1691240182</v>
      </c>
      <c r="O11" s="39">
        <f>SUMIF(TUSD!$A$57:'TUSD'!$A$103,$A$2,TUSD!$Y$57:'TUSD'!$Y$103)</f>
        <v>0</v>
      </c>
      <c r="P11" s="39">
        <f>SUMIF(TUSD!$A$57:'TUSD'!$A$103,$A$2,TUSD!$Z$57:'TUSD'!$Z$103)</f>
        <v>0</v>
      </c>
      <c r="Q11" s="39">
        <f>SUMIF(TUSD!$A$57:'TUSD'!$A$103,$A$2,TUSD!$AA$57:'TUSD'!$AA$103)</f>
        <v>3805245.739158086</v>
      </c>
      <c r="R11" s="39">
        <f ca="1">SUMIF(TUSD!$A$57:'TUSD'!$A$103,$A$2,TUSD!$AB$57:'TUSD'!$AB$103)</f>
        <v>-266975.57907636161</v>
      </c>
      <c r="S11" s="39">
        <f ca="1">SUMIF(TUSD!$A$57:'TUSD'!$A$103,$A$2,TUSD!$AC$57:'TUSD'!$AC$103)</f>
        <v>0</v>
      </c>
      <c r="T11" s="39">
        <f>SUMIF(TUSD!$A$57:'TUSD'!$A$103,$A$2,TUSD!$AD$57:'TUSD'!$AD$103)</f>
        <v>348709.20350797218</v>
      </c>
      <c r="U11" s="39">
        <f>SUMIF(TUSD!$A$57:'TUSD'!$A$103,$A$2,TUSD!$AE$57:'TUSD'!$AE$103)</f>
        <v>0</v>
      </c>
      <c r="V11" s="39">
        <f ca="1">SUMIF(TUSD!$A$57:'TUSD'!$A$103,$A$2,TUSD!$AF$57:'TUSD'!$AF$103)</f>
        <v>0</v>
      </c>
      <c r="W11" s="39">
        <f ca="1">SUMIF(TUSD!$A$57:'TUSD'!$A$103,$A$2,TUSD!$AG$57:'TUSD'!$AG$103)</f>
        <v>0</v>
      </c>
      <c r="X11" s="39">
        <f t="shared" ca="1" si="0"/>
        <v>10449860.194306426</v>
      </c>
    </row>
    <row r="13" spans="1:33" x14ac:dyDescent="0.2">
      <c r="A13" s="14" t="s">
        <v>942</v>
      </c>
      <c r="B13" s="57">
        <f t="shared" ref="B13:X13" si="1">IF($X$6&lt;&gt;0,(B$7-B$6)/$X$6,0)</f>
        <v>0</v>
      </c>
      <c r="C13" s="57">
        <f t="shared" si="1"/>
        <v>4.5437579105697646E-4</v>
      </c>
      <c r="D13" s="57">
        <f t="shared" ca="1" si="1"/>
        <v>0</v>
      </c>
      <c r="E13" s="57">
        <f t="shared" si="1"/>
        <v>0</v>
      </c>
      <c r="F13" s="57">
        <f t="shared" si="1"/>
        <v>0</v>
      </c>
      <c r="G13" s="57">
        <f t="shared" si="1"/>
        <v>0.15860575726950213</v>
      </c>
      <c r="H13" s="57">
        <f t="shared" si="1"/>
        <v>3.1361873522784869E-2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1.5733724299114944E-3</v>
      </c>
      <c r="O13" s="57">
        <f t="shared" si="1"/>
        <v>0</v>
      </c>
      <c r="P13" s="57">
        <f t="shared" si="1"/>
        <v>0</v>
      </c>
      <c r="Q13" s="57">
        <f t="shared" si="1"/>
        <v>5.0524976849859946E-2</v>
      </c>
      <c r="R13" s="57">
        <f t="shared" ca="1" si="1"/>
        <v>-3.1948064434702911E-2</v>
      </c>
      <c r="S13" s="57">
        <f t="shared" ca="1" si="1"/>
        <v>0</v>
      </c>
      <c r="T13" s="57">
        <f t="shared" si="1"/>
        <v>3.980524137611989E-2</v>
      </c>
      <c r="U13" s="57">
        <f t="shared" si="1"/>
        <v>0</v>
      </c>
      <c r="V13" s="57">
        <f t="shared" ca="1" si="1"/>
        <v>0</v>
      </c>
      <c r="W13" s="57">
        <f t="shared" ca="1" si="1"/>
        <v>0</v>
      </c>
      <c r="X13" s="57">
        <f t="shared" ca="1" si="1"/>
        <v>0.2503775328045324</v>
      </c>
    </row>
    <row r="14" spans="1:33" x14ac:dyDescent="0.2">
      <c r="A14" s="14" t="s">
        <v>943</v>
      </c>
      <c r="B14" s="57">
        <f t="shared" ref="B14:X14" si="2">IF($X$10&lt;&gt;0,(B$9-B$8)/$X$10,0)</f>
        <v>0</v>
      </c>
      <c r="C14" s="57">
        <f t="shared" si="2"/>
        <v>4.3994710293076335E-4</v>
      </c>
      <c r="D14" s="57">
        <f t="shared" ca="1" si="2"/>
        <v>0</v>
      </c>
      <c r="E14" s="57">
        <f t="shared" si="2"/>
        <v>0</v>
      </c>
      <c r="F14" s="57">
        <f t="shared" si="2"/>
        <v>0</v>
      </c>
      <c r="G14" s="57">
        <f t="shared" si="2"/>
        <v>0.15956121350711377</v>
      </c>
      <c r="H14" s="57">
        <f t="shared" si="2"/>
        <v>3.2350916086780736E-2</v>
      </c>
      <c r="I14" s="57">
        <f t="shared" si="2"/>
        <v>0</v>
      </c>
      <c r="J14" s="57">
        <f t="shared" si="2"/>
        <v>0</v>
      </c>
      <c r="K14" s="57">
        <f t="shared" si="2"/>
        <v>0</v>
      </c>
      <c r="L14" s="57">
        <f t="shared" si="2"/>
        <v>0</v>
      </c>
      <c r="M14" s="57">
        <f t="shared" si="2"/>
        <v>0</v>
      </c>
      <c r="N14" s="57">
        <f t="shared" si="2"/>
        <v>5.7704105782631059E-3</v>
      </c>
      <c r="O14" s="57">
        <f t="shared" si="2"/>
        <v>0</v>
      </c>
      <c r="P14" s="57">
        <f t="shared" si="2"/>
        <v>0</v>
      </c>
      <c r="Q14" s="57">
        <f t="shared" si="2"/>
        <v>4.4110130192186861E-2</v>
      </c>
      <c r="R14" s="57">
        <f t="shared" ca="1" si="2"/>
        <v>-3.1887314987001023E-2</v>
      </c>
      <c r="S14" s="57">
        <f t="shared" ca="1" si="2"/>
        <v>0</v>
      </c>
      <c r="T14" s="57">
        <f t="shared" si="2"/>
        <v>3.7776285040148551E-2</v>
      </c>
      <c r="U14" s="57">
        <f t="shared" si="2"/>
        <v>0</v>
      </c>
      <c r="V14" s="57">
        <f t="shared" ca="1" si="2"/>
        <v>0</v>
      </c>
      <c r="W14" s="57">
        <f t="shared" ca="1" si="2"/>
        <v>0</v>
      </c>
      <c r="X14" s="57">
        <f t="shared" ca="1" si="2"/>
        <v>0.24812158752042304</v>
      </c>
    </row>
    <row r="15" spans="1:33" x14ac:dyDescent="0.2">
      <c r="A15" s="14" t="s">
        <v>944</v>
      </c>
      <c r="B15" s="57">
        <f t="shared" ref="B15:X15" si="3">IF($X$8&lt;&gt;0,(B$9-B$8)/$X$8,0)</f>
        <v>0</v>
      </c>
      <c r="C15" s="57">
        <f t="shared" si="3"/>
        <v>4.3994710293076335E-4</v>
      </c>
      <c r="D15" s="57">
        <f t="shared" ca="1" si="3"/>
        <v>0</v>
      </c>
      <c r="E15" s="57">
        <f t="shared" si="3"/>
        <v>0</v>
      </c>
      <c r="F15" s="57">
        <f t="shared" si="3"/>
        <v>0</v>
      </c>
      <c r="G15" s="57">
        <f t="shared" si="3"/>
        <v>0.15956121350711377</v>
      </c>
      <c r="H15" s="57">
        <f t="shared" si="3"/>
        <v>3.2350916086780736E-2</v>
      </c>
      <c r="I15" s="57">
        <f t="shared" si="3"/>
        <v>0</v>
      </c>
      <c r="J15" s="57">
        <f t="shared" si="3"/>
        <v>0</v>
      </c>
      <c r="K15" s="57">
        <f t="shared" si="3"/>
        <v>0</v>
      </c>
      <c r="L15" s="57">
        <f t="shared" si="3"/>
        <v>0</v>
      </c>
      <c r="M15" s="57">
        <f t="shared" si="3"/>
        <v>0</v>
      </c>
      <c r="N15" s="57">
        <f t="shared" si="3"/>
        <v>5.7704105782631059E-3</v>
      </c>
      <c r="O15" s="57">
        <f t="shared" si="3"/>
        <v>0</v>
      </c>
      <c r="P15" s="57">
        <f t="shared" si="3"/>
        <v>0</v>
      </c>
      <c r="Q15" s="57">
        <f t="shared" si="3"/>
        <v>4.4110130192186861E-2</v>
      </c>
      <c r="R15" s="57">
        <f t="shared" ca="1" si="3"/>
        <v>-3.1887314987001023E-2</v>
      </c>
      <c r="S15" s="57">
        <f t="shared" ca="1" si="3"/>
        <v>0</v>
      </c>
      <c r="T15" s="57">
        <f t="shared" si="3"/>
        <v>3.7776285040148551E-2</v>
      </c>
      <c r="U15" s="57">
        <f t="shared" si="3"/>
        <v>0</v>
      </c>
      <c r="V15" s="57">
        <f t="shared" ca="1" si="3"/>
        <v>0</v>
      </c>
      <c r="W15" s="57">
        <f t="shared" ca="1" si="3"/>
        <v>0</v>
      </c>
      <c r="X15" s="57">
        <f t="shared" ca="1" si="3"/>
        <v>0.24812158752042304</v>
      </c>
    </row>
  </sheetData>
  <dataValidations count="6">
    <dataValidation type="list" allowBlank="1" showInputMessage="1" showErrorMessage="1" error="Deve-se selecionar grupo válido" sqref="A2" xr:uid="{F9EE0C08-D4E3-494C-8E48-90FC9C438312}">
      <formula1>AA1:AA6</formula1>
    </dataValidation>
    <dataValidation type="list" allowBlank="1" showInputMessage="1" showErrorMessage="1" error="Deve-se selecionar grupo válido" sqref="B2" xr:uid="{5B295E65-67C3-4169-ACE6-D54FEF435020}">
      <formula1>AB1:AB7</formula1>
    </dataValidation>
    <dataValidation type="list" allowBlank="1" showInputMessage="1" showErrorMessage="1" error="Deve-se selecionar grupo válido" sqref="C2 E2" xr:uid="{229575FC-D1BA-44D4-9E7E-6FEAC46C6C18}">
      <formula1>AC1:AC4</formula1>
    </dataValidation>
    <dataValidation type="list" allowBlank="1" showInputMessage="1" showErrorMessage="1" error="Deve-se selecionar grupo válido" sqref="D2" xr:uid="{AC76474C-3A72-4F10-8B6D-0BF7341A62F1}">
      <formula1>AD1:AD10</formula1>
    </dataValidation>
    <dataValidation type="list" allowBlank="1" showInputMessage="1" showErrorMessage="1" error="Deve-se selecionar grupo válido" sqref="F2" xr:uid="{4B6A7CB0-3457-45CB-82BC-63BA3A1683A3}">
      <formula1>AF1:AF1</formula1>
    </dataValidation>
    <dataValidation type="list" allowBlank="1" showInputMessage="1" showErrorMessage="1" error="Deve-se selecionar grupo válido" sqref="G2" xr:uid="{25EA9EF8-F963-4245-8F7F-2B75CD271080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088F-6321-4544-92C5-C7CAF913CB18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0.5703125" style="14" bestFit="1" customWidth="1"/>
    <col min="3" max="6" width="10.28515625" style="14" bestFit="1" customWidth="1"/>
    <col min="7" max="7" width="14.85546875" style="14" bestFit="1" customWidth="1"/>
    <col min="8" max="8" width="6" style="14" bestFit="1" customWidth="1"/>
    <col min="9" max="9" width="9.5703125" style="14" bestFit="1" customWidth="1"/>
    <col min="10" max="10" width="6.42578125" style="14" bestFit="1" customWidth="1"/>
    <col min="11" max="11" width="7.7109375" style="14" bestFit="1" customWidth="1"/>
    <col min="12" max="12" width="10.7109375" style="14" bestFit="1" customWidth="1"/>
    <col min="13" max="13" width="10.85546875" style="14" bestFit="1" customWidth="1"/>
    <col min="14" max="26" width="9.140625" style="14"/>
    <col min="27" max="27" width="3" style="14" bestFit="1" customWidth="1"/>
    <col min="28" max="28" width="27.1406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15</v>
      </c>
      <c r="G1" s="14" t="s">
        <v>59</v>
      </c>
      <c r="I1" s="14" t="s">
        <v>941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22</v>
      </c>
      <c r="AB2" s="14" t="s">
        <v>62</v>
      </c>
      <c r="AC2" s="14" t="s">
        <v>24</v>
      </c>
      <c r="AD2" s="14" t="s">
        <v>24</v>
      </c>
      <c r="AG2" s="14" t="s">
        <v>64</v>
      </c>
    </row>
    <row r="3" spans="1:33" x14ac:dyDescent="0.2">
      <c r="AA3" s="14" t="s">
        <v>39</v>
      </c>
      <c r="AB3" s="14" t="s">
        <v>76</v>
      </c>
      <c r="AC3" s="14" t="s">
        <v>40</v>
      </c>
      <c r="AD3" s="14" t="s">
        <v>27</v>
      </c>
      <c r="AG3" s="14" t="s">
        <v>65</v>
      </c>
    </row>
    <row r="4" spans="1:33" x14ac:dyDescent="0.2">
      <c r="AA4" s="14" t="s">
        <v>31</v>
      </c>
      <c r="AB4" s="14" t="s">
        <v>78</v>
      </c>
      <c r="AC4" s="14" t="s">
        <v>43</v>
      </c>
      <c r="AD4" s="14" t="s">
        <v>28</v>
      </c>
      <c r="AG4" s="14" t="s">
        <v>75</v>
      </c>
    </row>
    <row r="5" spans="1:33" x14ac:dyDescent="0.2">
      <c r="A5" s="14" t="s">
        <v>934</v>
      </c>
      <c r="B5" s="14" t="str">
        <f>TE!$X$4</f>
        <v>P&amp;D</v>
      </c>
      <c r="C5" s="14" t="str">
        <f>TE!$Y$4</f>
        <v>ESS/ERR</v>
      </c>
      <c r="D5" s="14" t="str">
        <f>TE!$Z$4</f>
        <v>CFURH</v>
      </c>
      <c r="E5" s="14" t="str">
        <f>TE!$AA$4</f>
        <v>CDE Covid TE</v>
      </c>
      <c r="F5" s="14" t="str">
        <f>TE!$AB$4</f>
        <v>CDE ELET</v>
      </c>
      <c r="G5" s="14" t="str">
        <f>TE!$AC$4</f>
        <v>ENERGIA REVENDA</v>
      </c>
      <c r="H5" s="14" t="str">
        <f>TE!$AD$4</f>
        <v>ITAIPU</v>
      </c>
      <c r="I5" s="14" t="str">
        <f>TE!$AE$4</f>
        <v>TUST ITAIPU</v>
      </c>
      <c r="J5" s="14" t="str">
        <f>TE!$AF$4</f>
        <v>TUST CI</v>
      </c>
      <c r="K5" s="14" t="str">
        <f>TE!$AG$4</f>
        <v>SUBSIDIO</v>
      </c>
      <c r="L5" s="14" t="str">
        <f>TE!$AH$4</f>
        <v>PERDAS RB/C</v>
      </c>
      <c r="M5" s="14" t="s">
        <v>360</v>
      </c>
      <c r="AA5" s="14" t="s">
        <v>42</v>
      </c>
      <c r="AD5" s="14" t="s">
        <v>29</v>
      </c>
      <c r="AG5" s="14" t="s">
        <v>69</v>
      </c>
    </row>
    <row r="6" spans="1:33" x14ac:dyDescent="0.2">
      <c r="A6" s="14" t="s">
        <v>935</v>
      </c>
      <c r="B6" s="39">
        <f>SUM(TE!$X$47:'TE'!$X$83)</f>
        <v>0</v>
      </c>
      <c r="C6" s="39">
        <f>SUM(TE!$Y$47:'TE'!$Y$83)</f>
        <v>0</v>
      </c>
      <c r="D6" s="39">
        <f>SUM(TE!$Z$47:'TE'!$Z$83)</f>
        <v>0</v>
      </c>
      <c r="E6" s="39">
        <f>SUM(TE!$AA$47:'TE'!$AA$83)</f>
        <v>0</v>
      </c>
      <c r="F6" s="39">
        <f>SUM(TE!$AB$47:'TE'!$AB$83)</f>
        <v>0</v>
      </c>
      <c r="G6" s="39">
        <f>SUM(TE!$AC$47:'TE'!$AC$83)</f>
        <v>13611698.925381064</v>
      </c>
      <c r="H6" s="39">
        <f>SUM(TE!$AD$47:'TE'!$AD$83)</f>
        <v>0</v>
      </c>
      <c r="I6" s="39">
        <f>SUM(TE!$AE$47:'TE'!$AE$83)</f>
        <v>0</v>
      </c>
      <c r="J6" s="39">
        <f>SUM(TE!$AF$47:'TE'!$AF$83)</f>
        <v>0</v>
      </c>
      <c r="K6" s="39">
        <f>SUM(TE!$AG$47:'TE'!$AG$83)</f>
        <v>0</v>
      </c>
      <c r="L6" s="39">
        <f>SUM(TE!$AH$47:'TE'!$AH$83)</f>
        <v>0</v>
      </c>
      <c r="M6" s="39">
        <f t="shared" ref="M6:M11" si="0">SUM(B6:L6)</f>
        <v>13611698.925381064</v>
      </c>
      <c r="AD6" s="14" t="s">
        <v>30</v>
      </c>
    </row>
    <row r="7" spans="1:33" x14ac:dyDescent="0.2">
      <c r="A7" s="14" t="s">
        <v>936</v>
      </c>
      <c r="B7" s="39">
        <f>SUM(TE!$L$47:'TE'!$L$83)</f>
        <v>0</v>
      </c>
      <c r="C7" s="39">
        <f>SUM(TE!$M$47:'TE'!$M$83)</f>
        <v>0</v>
      </c>
      <c r="D7" s="39">
        <f>SUM(TE!$N$47:'TE'!$N$83)</f>
        <v>0</v>
      </c>
      <c r="E7" s="39">
        <f>SUM(TE!$O$47:'TE'!$O$83)</f>
        <v>0</v>
      </c>
      <c r="F7" s="39">
        <f>SUM(TE!$P$47:'TE'!$P$83)</f>
        <v>0</v>
      </c>
      <c r="G7" s="39">
        <f>SUM(TE!$Q$47:'TE'!$Q$83)</f>
        <v>13882167.134142406</v>
      </c>
      <c r="H7" s="39">
        <f>SUM(TE!$R$47:'TE'!$R$83)</f>
        <v>0</v>
      </c>
      <c r="I7" s="39">
        <f>SUM(TE!$S$47:'TE'!$S$83)</f>
        <v>0</v>
      </c>
      <c r="J7" s="39">
        <f>SUM(TE!$T$47:'TE'!$T$83)</f>
        <v>0</v>
      </c>
      <c r="K7" s="39">
        <f>SUM(TE!$U$47:'TE'!$U$83)</f>
        <v>-343310.38844749052</v>
      </c>
      <c r="L7" s="39">
        <f>SUM(TE!$V$47:'TE'!$V$83)</f>
        <v>0</v>
      </c>
      <c r="M7" s="39">
        <f t="shared" si="0"/>
        <v>13538856.745694917</v>
      </c>
      <c r="AD7" s="14" t="s">
        <v>80</v>
      </c>
    </row>
    <row r="8" spans="1:33" x14ac:dyDescent="0.2">
      <c r="A8" s="14" t="s">
        <v>939</v>
      </c>
      <c r="B8" s="39">
        <f>IF($G$2&lt;&gt;"Não se aplica",SUMIF(TE!$G$47:'TE'!$G$83,$I$2,TE!$X$47:'TE'!$X$83),IF($F$2&lt;&gt;"Não se aplica",SUMIF(TE!$F$47:'TE'!$F$83,$I$2,TE!$X$47:'TE'!$X$83),IF($E$2&lt;&gt;"Não se aplica",SUMIF(TE!$E$47:'TE'!$E$83,$I$2,TE!$X$47:'TE'!$X$83),IF($D$2&lt;&gt;"Não se aplica",SUMIF(TE!$D$47:'TE'!$D$83,$I$2,TE!$X$47:'TE'!$X$83),IF($C$2&lt;&gt;"Não se aplica",SUMIF(TE!$C$47:'TE'!$C$83,$I$2,TE!$X$47:'TE'!$X$83),IF($B$2&lt;&gt;"Não se aplica",SUMIF(TE!$B$47:'TE'!$B$83,$I$2,TE!$X$47:'TE'!$X$83),SUMIF(TE!$A$47:'TE'!$A$83,$I$2,TE!$X$47:'TE'!$X$83)))))))</f>
        <v>0</v>
      </c>
      <c r="C8" s="39">
        <f>IF($G$2&lt;&gt;"Não se aplica",SUMIF(TE!$G$47:'TE'!$G$83,$I$2,TE!$Y$47:'TE'!$Y$83),IF($F$2&lt;&gt;"Não se aplica",SUMIF(TE!$F$47:'TE'!$F$83,$I$2,TE!$Y$47:'TE'!$Y$83),IF($E$2&lt;&gt;"Não se aplica",SUMIF(TE!$E$47:'TE'!$E$83,$I$2,TE!$Y$47:'TE'!$Y$83),IF($D$2&lt;&gt;"Não se aplica",SUMIF(TE!$D$47:'TE'!$D$83,$I$2,TE!$Y$47:'TE'!$Y$83),IF($C$2&lt;&gt;"Não se aplica",SUMIF(TE!$C$47:'TE'!$C$83,$I$2,TE!$Y$47:'TE'!$Y$83),IF($B$2&lt;&gt;"Não se aplica",SUMIF(TE!$B$47:'TE'!$B$83,$I$2,TE!$Y$47:'TE'!$Y$83),SUMIF(TE!$A$47:'TE'!$A$83,$I$2,TE!$Y$47:'TE'!$Y$83)))))))</f>
        <v>0</v>
      </c>
      <c r="D8" s="39">
        <f>IF($G$2&lt;&gt;"Não se aplica",SUMIF(TE!$G$47:'TE'!$G$83,$I$2,TE!$Z$47:'TE'!$Z$83),IF($F$2&lt;&gt;"Não se aplica",SUMIF(TE!$F$47:'TE'!$F$83,$I$2,TE!$Z$47:'TE'!$Z$83),IF($E$2&lt;&gt;"Não se aplica",SUMIF(TE!$E$47:'TE'!$E$83,$I$2,TE!$Z$47:'TE'!$Z$83),IF($D$2&lt;&gt;"Não se aplica",SUMIF(TE!$D$47:'TE'!$D$83,$I$2,TE!$Z$47:'TE'!$Z$83),IF($C$2&lt;&gt;"Não se aplica",SUMIF(TE!$C$47:'TE'!$C$83,$I$2,TE!$Z$47:'TE'!$Z$83),IF($B$2&lt;&gt;"Não se aplica",SUMIF(TE!$B$47:'TE'!$B$83,$I$2,TE!$Z$47:'TE'!$Z$83),SUMIF(TE!$A$47:'TE'!$A$83,$I$2,TE!$Z$47:'TE'!$Z$83)))))))</f>
        <v>0</v>
      </c>
      <c r="E8" s="39">
        <f>IF($G$2&lt;&gt;"Não se aplica",SUMIF(TE!$G$47:'TE'!$G$83,$I$2,TE!$AA$47:'TE'!$AA$83),IF($F$2&lt;&gt;"Não se aplica",SUMIF(TE!$F$47:'TE'!$F$83,$I$2,TE!$AA$47:'TE'!$AA$83),IF($E$2&lt;&gt;"Não se aplica",SUMIF(TE!$E$47:'TE'!$E$83,$I$2,TE!$AA$47:'TE'!$AA$83),IF($D$2&lt;&gt;"Não se aplica",SUMIF(TE!$D$47:'TE'!$D$83,$I$2,TE!$AA$47:'TE'!$AA$83),IF($C$2&lt;&gt;"Não se aplica",SUMIF(TE!$C$47:'TE'!$C$83,$I$2,TE!$AA$47:'TE'!$AA$83),IF($B$2&lt;&gt;"Não se aplica",SUMIF(TE!$B$47:'TE'!$B$83,$I$2,TE!$AA$47:'TE'!$AA$83),SUMIF(TE!$A$47:'TE'!$A$83,$I$2,TE!$AA$47:'TE'!$AA$83)))))))</f>
        <v>0</v>
      </c>
      <c r="F8" s="39">
        <f>IF($G$2&lt;&gt;"Não se aplica",SUMIF(TE!$G$47:'TE'!$G$83,$I$2,TE!$AB$47:'TE'!$AB$83),IF($F$2&lt;&gt;"Não se aplica",SUMIF(TE!$F$47:'TE'!$F$83,$I$2,TE!$AB$47:'TE'!$AB$83),IF($E$2&lt;&gt;"Não se aplica",SUMIF(TE!$E$47:'TE'!$E$83,$I$2,TE!$AB$47:'TE'!$AB$83),IF($D$2&lt;&gt;"Não se aplica",SUMIF(TE!$D$47:'TE'!$D$83,$I$2,TE!$AB$47:'TE'!$AB$83),IF($C$2&lt;&gt;"Não se aplica",SUMIF(TE!$C$47:'TE'!$C$83,$I$2,TE!$AB$47:'TE'!$AB$83),IF($B$2&lt;&gt;"Não se aplica",SUMIF(TE!$B$47:'TE'!$B$83,$I$2,TE!$AB$47:'TE'!$AB$83),SUMIF(TE!$A$47:'TE'!$A$83,$I$2,TE!$AB$47:'TE'!$AB$83)))))))</f>
        <v>0</v>
      </c>
      <c r="G8" s="39">
        <f>IF($G$2&lt;&gt;"Não se aplica",SUMIF(TE!$G$47:'TE'!$G$83,$I$2,TE!$AC$47:'TE'!$AC$83),IF($F$2&lt;&gt;"Não se aplica",SUMIF(TE!$F$47:'TE'!$F$83,$I$2,TE!$AC$47:'TE'!$AC$83),IF($E$2&lt;&gt;"Não se aplica",SUMIF(TE!$E$47:'TE'!$E$83,$I$2,TE!$AC$47:'TE'!$AC$83),IF($D$2&lt;&gt;"Não se aplica",SUMIF(TE!$D$47:'TE'!$D$83,$I$2,TE!$AC$47:'TE'!$AC$83),IF($C$2&lt;&gt;"Não se aplica",SUMIF(TE!$C$47:'TE'!$C$83,$I$2,TE!$AC$47:'TE'!$AC$83),IF($B$2&lt;&gt;"Não se aplica",SUMIF(TE!$B$47:'TE'!$B$83,$I$2,TE!$AC$47:'TE'!$AC$83),SUMIF(TE!$A$47:'TE'!$A$83,$I$2,TE!$AC$47:'TE'!$AC$83)))))))</f>
        <v>12340451.075324766</v>
      </c>
      <c r="H8" s="39">
        <f>IF($G$2&lt;&gt;"Não se aplica",SUMIF(TE!$G$47:'TE'!$G$83,$I$2,TE!$AD$47:'TE'!$AD$83),IF($F$2&lt;&gt;"Não se aplica",SUMIF(TE!$F$47:'TE'!$F$83,$I$2,TE!$AD$47:'TE'!$AD$83),IF($E$2&lt;&gt;"Não se aplica",SUMIF(TE!$E$47:'TE'!$E$83,$I$2,TE!$AD$47:'TE'!$AD$83),IF($D$2&lt;&gt;"Não se aplica",SUMIF(TE!$D$47:'TE'!$D$83,$I$2,TE!$AD$47:'TE'!$AD$83),IF($C$2&lt;&gt;"Não se aplica",SUMIF(TE!$C$47:'TE'!$C$83,$I$2,TE!$AD$47:'TE'!$AD$83),IF($B$2&lt;&gt;"Não se aplica",SUMIF(TE!$B$47:'TE'!$B$83,$I$2,TE!$AD$47:'TE'!$AD$83),SUMIF(TE!$A$47:'TE'!$A$83,$I$2,TE!$AD$47:'TE'!$AD$83)))))))</f>
        <v>0</v>
      </c>
      <c r="I8" s="39">
        <f>IF($G$2&lt;&gt;"Não se aplica",SUMIF(TE!$G$47:'TE'!$G$83,$I$2,TE!$AE$47:'TE'!$AE$83),IF($F$2&lt;&gt;"Não se aplica",SUMIF(TE!$F$47:'TE'!$F$83,$I$2,TE!$AE$47:'TE'!$AE$83),IF($E$2&lt;&gt;"Não se aplica",SUMIF(TE!$E$47:'TE'!$E$83,$I$2,TE!$AE$47:'TE'!$AE$83),IF($D$2&lt;&gt;"Não se aplica",SUMIF(TE!$D$47:'TE'!$D$83,$I$2,TE!$AE$47:'TE'!$AE$83),IF($C$2&lt;&gt;"Não se aplica",SUMIF(TE!$C$47:'TE'!$C$83,$I$2,TE!$AE$47:'TE'!$AE$83),IF($B$2&lt;&gt;"Não se aplica",SUMIF(TE!$B$47:'TE'!$B$83,$I$2,TE!$AE$47:'TE'!$AE$83),SUMIF(TE!$A$47:'TE'!$A$83,$I$2,TE!$AE$47:'TE'!$AE$83)))))))</f>
        <v>0</v>
      </c>
      <c r="J8" s="39">
        <f>IF($G$2&lt;&gt;"Não se aplica",SUMIF(TE!$G$47:'TE'!$G$83,$I$2,TE!$AF$47:'TE'!$AF$83),IF($F$2&lt;&gt;"Não se aplica",SUMIF(TE!$F$47:'TE'!$F$83,$I$2,TE!$AF$47:'TE'!$AF$83),IF($E$2&lt;&gt;"Não se aplica",SUMIF(TE!$E$47:'TE'!$E$83,$I$2,TE!$AF$47:'TE'!$AF$83),IF($D$2&lt;&gt;"Não se aplica",SUMIF(TE!$D$47:'TE'!$D$83,$I$2,TE!$AF$47:'TE'!$AF$83),IF($C$2&lt;&gt;"Não se aplica",SUMIF(TE!$C$47:'TE'!$C$83,$I$2,TE!$AF$47:'TE'!$AF$83),IF($B$2&lt;&gt;"Não se aplica",SUMIF(TE!$B$47:'TE'!$B$83,$I$2,TE!$AF$47:'TE'!$AF$83),SUMIF(TE!$A$47:'TE'!$A$83,$I$2,TE!$AF$47:'TE'!$AF$83)))))))</f>
        <v>0</v>
      </c>
      <c r="K8" s="39">
        <f>IF($G$2&lt;&gt;"Não se aplica",SUMIF(TE!$G$47:'TE'!$G$83,$I$2,TE!$AG$47:'TE'!$AG$83),IF($F$2&lt;&gt;"Não se aplica",SUMIF(TE!$F$47:'TE'!$F$83,$I$2,TE!$AG$47:'TE'!$AG$83),IF($E$2&lt;&gt;"Não se aplica",SUMIF(TE!$E$47:'TE'!$E$83,$I$2,TE!$AG$47:'TE'!$AG$83),IF($D$2&lt;&gt;"Não se aplica",SUMIF(TE!$D$47:'TE'!$D$83,$I$2,TE!$AG$47:'TE'!$AG$83),IF($C$2&lt;&gt;"Não se aplica",SUMIF(TE!$C$47:'TE'!$C$83,$I$2,TE!$AG$47:'TE'!$AG$83),IF($B$2&lt;&gt;"Não se aplica",SUMIF(TE!$B$47:'TE'!$B$83,$I$2,TE!$AG$47:'TE'!$AG$83),SUMIF(TE!$A$47:'TE'!$A$83,$I$2,TE!$AG$47:'TE'!$AG$83)))))))</f>
        <v>0</v>
      </c>
      <c r="L8" s="39">
        <f>IF($G$2&lt;&gt;"Não se aplica",SUMIF(TE!$G$47:'TE'!$G$83,$I$2,TE!$AH$47:'TE'!$AH$83),IF($F$2&lt;&gt;"Não se aplica",SUMIF(TE!$F$47:'TE'!$F$83,$I$2,TE!$AH$47:'TE'!$AH$83),IF($E$2&lt;&gt;"Não se aplica",SUMIF(TE!$E$47:'TE'!$E$83,$I$2,TE!$AH$47:'TE'!$AH$83),IF($D$2&lt;&gt;"Não se aplica",SUMIF(TE!$D$47:'TE'!$D$83,$I$2,TE!$AH$47:'TE'!$AH$83),IF($C$2&lt;&gt;"Não se aplica",SUMIF(TE!$C$47:'TE'!$C$83,$I$2,TE!$AH$47:'TE'!$AH$83),IF($B$2&lt;&gt;"Não se aplica",SUMIF(TE!$B$47:'TE'!$B$83,$I$2,TE!$AH$47:'TE'!$AH$83),SUMIF(TE!$A$47:'TE'!$A$83,$I$2,TE!$AH$47:'TE'!$AH$83)))))))</f>
        <v>0</v>
      </c>
      <c r="M8" s="39">
        <f t="shared" si="0"/>
        <v>12340451.075324766</v>
      </c>
      <c r="AD8" s="14" t="s">
        <v>81</v>
      </c>
    </row>
    <row r="9" spans="1:33" x14ac:dyDescent="0.2">
      <c r="A9" s="14" t="s">
        <v>940</v>
      </c>
      <c r="B9" s="39">
        <f>IF($G$2&lt;&gt;"Não se aplica",SUMIF(TE!$G$47:'TE'!$G$83,$I$2,TE!$L$47:'TE'!$L$83),IF($F$2&lt;&gt;"Não se aplica",SUMIF(TE!$F$47:'TE'!$F$83,$I$2,TE!$L$47:'TE'!$L$83),IF($E$2&lt;&gt;"Não se aplica",SUMIF(TE!$E$47:'TE'!$E$83,$I$2,TE!$L$47:'TE'!$L$83),IF($D$2&lt;&gt;"Não se aplica",SUMIF(TE!$D$47:'TE'!$D$83,$I$2,TE!$L$47:'TE'!$L$83),IF($C$2&lt;&gt;"Não se aplica",SUMIF(TE!$C$47:'TE'!$C$83,$I$2,TE!$L$47:'TE'!$L$83),IF($B$2&lt;&gt;"Não se aplica",SUMIF(TE!$B$47:'TE'!$B$83,$I$2,TE!$L$47:'TE'!$L$83),SUMIF(TE!$A$47:'TE'!$A$83,$I$2,TE!$L$47:'TE'!$L$83)))))))</f>
        <v>0</v>
      </c>
      <c r="C9" s="39">
        <f>IF($G$2&lt;&gt;"Não se aplica",SUMIF(TE!$G$47:'TE'!$G$83,$I$2,TE!$M$47:'TE'!$M$83),IF($F$2&lt;&gt;"Não se aplica",SUMIF(TE!$F$47:'TE'!$F$83,$I$2,TE!$M$47:'TE'!$M$83),IF($E$2&lt;&gt;"Não se aplica",SUMIF(TE!$E$47:'TE'!$E$83,$I$2,TE!$M$47:'TE'!$M$83),IF($D$2&lt;&gt;"Não se aplica",SUMIF(TE!$D$47:'TE'!$D$83,$I$2,TE!$M$47:'TE'!$M$83),IF($C$2&lt;&gt;"Não se aplica",SUMIF(TE!$C$47:'TE'!$C$83,$I$2,TE!$M$47:'TE'!$M$83),IF($B$2&lt;&gt;"Não se aplica",SUMIF(TE!$B$47:'TE'!$B$83,$I$2,TE!$M$47:'TE'!$M$83),SUMIF(TE!$A$47:'TE'!$A$83,$I$2,TE!$M$47:'TE'!$M$83)))))))</f>
        <v>0</v>
      </c>
      <c r="D9" s="39">
        <f>IF($G$2&lt;&gt;"Não se aplica",SUMIF(TE!$G$47:'TE'!$G$83,$I$2,TE!$N$47:'TE'!$N$83),IF($F$2&lt;&gt;"Não se aplica",SUMIF(TE!$F$47:'TE'!$F$83,$I$2,TE!$N$47:'TE'!$N$83),IF($E$2&lt;&gt;"Não se aplica",SUMIF(TE!$E$47:'TE'!$E$83,$I$2,TE!$N$47:'TE'!$N$83),IF($D$2&lt;&gt;"Não se aplica",SUMIF(TE!$D$47:'TE'!$D$83,$I$2,TE!$N$47:'TE'!$N$83),IF($C$2&lt;&gt;"Não se aplica",SUMIF(TE!$C$47:'TE'!$C$83,$I$2,TE!$N$47:'TE'!$N$83),IF($B$2&lt;&gt;"Não se aplica",SUMIF(TE!$B$47:'TE'!$B$83,$I$2,TE!$N$47:'TE'!$N$83),SUMIF(TE!$A$47:'TE'!$A$83,$I$2,TE!$N$47:'TE'!$N$83)))))))</f>
        <v>0</v>
      </c>
      <c r="E9" s="39">
        <f>IF($G$2&lt;&gt;"Não se aplica",SUMIF(TE!$G$47:'TE'!$G$83,$I$2,TE!$O$47:'TE'!$O$83),IF($F$2&lt;&gt;"Não se aplica",SUMIF(TE!$F$47:'TE'!$F$83,$I$2,TE!$O$47:'TE'!$O$83),IF($E$2&lt;&gt;"Não se aplica",SUMIF(TE!$E$47:'TE'!$E$83,$I$2,TE!$O$47:'TE'!$O$83),IF($D$2&lt;&gt;"Não se aplica",SUMIF(TE!$D$47:'TE'!$D$83,$I$2,TE!$O$47:'TE'!$O$83),IF($C$2&lt;&gt;"Não se aplica",SUMIF(TE!$C$47:'TE'!$C$83,$I$2,TE!$O$47:'TE'!$O$83),IF($B$2&lt;&gt;"Não se aplica",SUMIF(TE!$B$47:'TE'!$B$83,$I$2,TE!$O$47:'TE'!$O$83),SUMIF(TE!$A$47:'TE'!$A$83,$I$2,TE!$O$47:'TE'!$O$83)))))))</f>
        <v>0</v>
      </c>
      <c r="F9" s="39">
        <f>IF($G$2&lt;&gt;"Não se aplica",SUMIF(TE!$G$47:'TE'!$G$83,$I$2,TE!$P$47:'TE'!$P$83),IF($F$2&lt;&gt;"Não se aplica",SUMIF(TE!$F$47:'TE'!$F$83,$I$2,TE!$P$47:'TE'!$P$83),IF($E$2&lt;&gt;"Não se aplica",SUMIF(TE!$E$47:'TE'!$E$83,$I$2,TE!$P$47:'TE'!$P$83),IF($D$2&lt;&gt;"Não se aplica",SUMIF(TE!$D$47:'TE'!$D$83,$I$2,TE!$P$47:'TE'!$P$83),IF($C$2&lt;&gt;"Não se aplica",SUMIF(TE!$C$47:'TE'!$C$83,$I$2,TE!$P$47:'TE'!$P$83),IF($B$2&lt;&gt;"Não se aplica",SUMIF(TE!$B$47:'TE'!$B$83,$I$2,TE!$P$47:'TE'!$P$83),SUMIF(TE!$A$47:'TE'!$A$83,$I$2,TE!$P$47:'TE'!$P$83)))))))</f>
        <v>0</v>
      </c>
      <c r="G9" s="39">
        <f>IF($G$2&lt;&gt;"Não se aplica",SUMIF(TE!$G$47:'TE'!$G$83,$I$2,TE!$Q$47:'TE'!$Q$83),IF($F$2&lt;&gt;"Não se aplica",SUMIF(TE!$F$47:'TE'!$F$83,$I$2,TE!$Q$47:'TE'!$Q$83),IF($E$2&lt;&gt;"Não se aplica",SUMIF(TE!$E$47:'TE'!$E$83,$I$2,TE!$Q$47:'TE'!$Q$83),IF($D$2&lt;&gt;"Não se aplica",SUMIF(TE!$D$47:'TE'!$D$83,$I$2,TE!$Q$47:'TE'!$Q$83),IF($C$2&lt;&gt;"Não se aplica",SUMIF(TE!$C$47:'TE'!$C$83,$I$2,TE!$Q$47:'TE'!$Q$83),IF($B$2&lt;&gt;"Não se aplica",SUMIF(TE!$B$47:'TE'!$B$83,$I$2,TE!$Q$47:'TE'!$Q$83),SUMIF(TE!$A$47:'TE'!$A$83,$I$2,TE!$Q$47:'TE'!$Q$83)))))))</f>
        <v>12576712.823752752</v>
      </c>
      <c r="H9" s="39">
        <f>IF($G$2&lt;&gt;"Não se aplica",SUMIF(TE!$G$47:'TE'!$G$83,$I$2,TE!$R$47:'TE'!$R$83),IF($F$2&lt;&gt;"Não se aplica",SUMIF(TE!$F$47:'TE'!$F$83,$I$2,TE!$R$47:'TE'!$R$83),IF($E$2&lt;&gt;"Não se aplica",SUMIF(TE!$E$47:'TE'!$E$83,$I$2,TE!$R$47:'TE'!$R$83),IF($D$2&lt;&gt;"Não se aplica",SUMIF(TE!$D$47:'TE'!$D$83,$I$2,TE!$R$47:'TE'!$R$83),IF($C$2&lt;&gt;"Não se aplica",SUMIF(TE!$C$47:'TE'!$C$83,$I$2,TE!$R$47:'TE'!$R$83),IF($B$2&lt;&gt;"Não se aplica",SUMIF(TE!$B$47:'TE'!$B$83,$I$2,TE!$R$47:'TE'!$R$83),SUMIF(TE!$A$47:'TE'!$A$83,$I$2,TE!$R$47:'TE'!$R$83)))))))</f>
        <v>0</v>
      </c>
      <c r="I9" s="39">
        <f>IF($G$2&lt;&gt;"Não se aplica",SUMIF(TE!$G$47:'TE'!$G$83,$I$2,TE!$S$47:'TE'!$S$83),IF($F$2&lt;&gt;"Não se aplica",SUMIF(TE!$F$47:'TE'!$F$83,$I$2,TE!$S$47:'TE'!$S$83),IF($E$2&lt;&gt;"Não se aplica",SUMIF(TE!$E$47:'TE'!$E$83,$I$2,TE!$S$47:'TE'!$S$83),IF($D$2&lt;&gt;"Não se aplica",SUMIF(TE!$D$47:'TE'!$D$83,$I$2,TE!$S$47:'TE'!$S$83),IF($C$2&lt;&gt;"Não se aplica",SUMIF(TE!$C$47:'TE'!$C$83,$I$2,TE!$S$47:'TE'!$S$83),IF($B$2&lt;&gt;"Não se aplica",SUMIF(TE!$B$47:'TE'!$B$83,$I$2,TE!$S$47:'TE'!$S$83),SUMIF(TE!$A$47:'TE'!$A$83,$I$2,TE!$S$47:'TE'!$S$83)))))))</f>
        <v>0</v>
      </c>
      <c r="J9" s="39">
        <f>IF($G$2&lt;&gt;"Não se aplica",SUMIF(TE!$G$47:'TE'!$G$83,$I$2,TE!$T$47:'TE'!$T$83),IF($F$2&lt;&gt;"Não se aplica",SUMIF(TE!$F$47:'TE'!$F$83,$I$2,TE!$T$47:'TE'!$T$83),IF($E$2&lt;&gt;"Não se aplica",SUMIF(TE!$E$47:'TE'!$E$83,$I$2,TE!$T$47:'TE'!$T$83),IF($D$2&lt;&gt;"Não se aplica",SUMIF(TE!$D$47:'TE'!$D$83,$I$2,TE!$T$47:'TE'!$T$83),IF($C$2&lt;&gt;"Não se aplica",SUMIF(TE!$C$47:'TE'!$C$83,$I$2,TE!$T$47:'TE'!$T$83),IF($B$2&lt;&gt;"Não se aplica",SUMIF(TE!$B$47:'TE'!$B$83,$I$2,TE!$T$47:'TE'!$T$83),SUMIF(TE!$A$47:'TE'!$A$83,$I$2,TE!$T$47:'TE'!$T$83)))))))</f>
        <v>0</v>
      </c>
      <c r="K9" s="39">
        <f>IF($G$2&lt;&gt;"Não se aplica",SUMIF(TE!$G$47:'TE'!$G$83,$I$2,TE!$U$47:'TE'!$U$83),IF($F$2&lt;&gt;"Não se aplica",SUMIF(TE!$F$47:'TE'!$F$83,$I$2,TE!$U$47:'TE'!$U$83),IF($E$2&lt;&gt;"Não se aplica",SUMIF(TE!$E$47:'TE'!$E$83,$I$2,TE!$U$47:'TE'!$U$83),IF($D$2&lt;&gt;"Não se aplica",SUMIF(TE!$D$47:'TE'!$D$83,$I$2,TE!$U$47:'TE'!$U$83),IF($C$2&lt;&gt;"Não se aplica",SUMIF(TE!$C$47:'TE'!$C$83,$I$2,TE!$U$47:'TE'!$U$83),IF($B$2&lt;&gt;"Não se aplica",SUMIF(TE!$B$47:'TE'!$B$83,$I$2,TE!$U$47:'TE'!$U$83),SUMIF(TE!$A$47:'TE'!$A$83,$I$2,TE!$U$47:'TE'!$U$83)))))))</f>
        <v>-311026.09003286768</v>
      </c>
      <c r="L9" s="39">
        <f>IF($G$2&lt;&gt;"Não se aplica",SUMIF(TE!$G$47:'TE'!$G$83,$I$2,TE!$V$47:'TE'!$V$83),IF($F$2&lt;&gt;"Não se aplica",SUMIF(TE!$F$47:'TE'!$F$83,$I$2,TE!$V$47:'TE'!$V$83),IF($E$2&lt;&gt;"Não se aplica",SUMIF(TE!$E$47:'TE'!$E$83,$I$2,TE!$V$47:'TE'!$V$83),IF($D$2&lt;&gt;"Não se aplica",SUMIF(TE!$D$47:'TE'!$D$83,$I$2,TE!$V$47:'TE'!$V$83),IF($C$2&lt;&gt;"Não se aplica",SUMIF(TE!$C$47:'TE'!$C$83,$I$2,TE!$V$47:'TE'!$V$83),IF($B$2&lt;&gt;"Não se aplica",SUMIF(TE!$B$47:'TE'!$B$83,$I$2,TE!$V$47:'TE'!$V$83),SUMIF(TE!$A$47:'TE'!$A$83,$I$2,TE!$V$47:'TE'!$V$83)))))))</f>
        <v>0</v>
      </c>
      <c r="M9" s="39">
        <f t="shared" si="0"/>
        <v>12265686.733719883</v>
      </c>
      <c r="AD9" s="14" t="s">
        <v>82</v>
      </c>
    </row>
    <row r="10" spans="1:33" x14ac:dyDescent="0.2">
      <c r="A10" s="14" t="s">
        <v>937</v>
      </c>
      <c r="B10" s="39">
        <f>SUMIF(TE!$A$47:'TE'!$A$83,$A$2,TE!$X$47:'TE'!$X$83)</f>
        <v>0</v>
      </c>
      <c r="C10" s="39">
        <f>SUMIF(TE!$A$47:'TE'!$A$83,$A$2,TE!$Y$47:'TE'!$Y$83)</f>
        <v>0</v>
      </c>
      <c r="D10" s="39">
        <f>SUMIF(TE!$A$47:'TE'!$A$83,$A$2,TE!$Z$47:'TE'!$Z$83)</f>
        <v>0</v>
      </c>
      <c r="E10" s="39">
        <f>SUMIF(TE!$A$47:'TE'!$A$83,$A$2,TE!$AA$47:'TE'!$AA$83)</f>
        <v>0</v>
      </c>
      <c r="F10" s="39">
        <f>SUMIF(TE!$A$47:'TE'!$A$83,$A$2,TE!$AB$47:'TE'!$AB$83)</f>
        <v>0</v>
      </c>
      <c r="G10" s="39">
        <f>SUMIF(TE!$A$47:'TE'!$A$83,$A$2,TE!$AC$47:'TE'!$AC$83)</f>
        <v>12340451.075324766</v>
      </c>
      <c r="H10" s="39">
        <f>SUMIF(TE!$A$47:'TE'!$A$83,$A$2,TE!$AD$47:'TE'!$AD$83)</f>
        <v>0</v>
      </c>
      <c r="I10" s="39">
        <f>SUMIF(TE!$A$47:'TE'!$A$83,$A$2,TE!$AE$47:'TE'!$AE$83)</f>
        <v>0</v>
      </c>
      <c r="J10" s="39">
        <f>SUMIF(TE!$A$47:'TE'!$A$83,$A$2,TE!$AF$47:'TE'!$AF$83)</f>
        <v>0</v>
      </c>
      <c r="K10" s="39">
        <f>SUMIF(TE!$A$47:'TE'!$A$83,$A$2,TE!$AG$47:'TE'!$AG$83)</f>
        <v>0</v>
      </c>
      <c r="L10" s="39">
        <f>SUMIF(TE!$A$47:'TE'!$A$83,$A$2,TE!$AH$47:'TE'!$AH$83)</f>
        <v>0</v>
      </c>
      <c r="M10" s="39">
        <f t="shared" si="0"/>
        <v>12340451.075324766</v>
      </c>
      <c r="AD10" s="14" t="s">
        <v>44</v>
      </c>
    </row>
    <row r="11" spans="1:33" x14ac:dyDescent="0.2">
      <c r="A11" s="14" t="s">
        <v>938</v>
      </c>
      <c r="B11" s="39">
        <f>SUMIF(TE!$A$47:'TE'!$A$83,$A$2,TE!$L$47:'TE'!$L$83)</f>
        <v>0</v>
      </c>
      <c r="C11" s="39">
        <f>SUMIF(TE!$A$47:'TE'!$A$83,$A$2,TE!$M$47:'TE'!$M$83)</f>
        <v>0</v>
      </c>
      <c r="D11" s="39">
        <f>SUMIF(TE!$A$47:'TE'!$A$83,$A$2,TE!$N$47:'TE'!$N$83)</f>
        <v>0</v>
      </c>
      <c r="E11" s="39">
        <f>SUMIF(TE!$A$47:'TE'!$A$83,$A$2,TE!$O$47:'TE'!$O$83)</f>
        <v>0</v>
      </c>
      <c r="F11" s="39">
        <f>SUMIF(TE!$A$47:'TE'!$A$83,$A$2,TE!$P$47:'TE'!$P$83)</f>
        <v>0</v>
      </c>
      <c r="G11" s="39">
        <f>SUMIF(TE!$A$47:'TE'!$A$83,$A$2,TE!$Q$47:'TE'!$Q$83)</f>
        <v>12576712.823752752</v>
      </c>
      <c r="H11" s="39">
        <f>SUMIF(TE!$A$47:'TE'!$A$83,$A$2,TE!$R$47:'TE'!$R$83)</f>
        <v>0</v>
      </c>
      <c r="I11" s="39">
        <f>SUMIF(TE!$A$47:'TE'!$A$83,$A$2,TE!$S$47:'TE'!$S$83)</f>
        <v>0</v>
      </c>
      <c r="J11" s="39">
        <f>SUMIF(TE!$A$47:'TE'!$A$83,$A$2,TE!$T$47:'TE'!$T$83)</f>
        <v>0</v>
      </c>
      <c r="K11" s="39">
        <f>SUMIF(TE!$A$47:'TE'!$A$83,$A$2,TE!$U$47:'TE'!$U$83)</f>
        <v>-311026.09003286768</v>
      </c>
      <c r="L11" s="39">
        <f>SUMIF(TE!$A$47:'TE'!$A$83,$A$2,TE!$V$47:'TE'!$V$83)</f>
        <v>0</v>
      </c>
      <c r="M11" s="39">
        <f t="shared" si="0"/>
        <v>12265686.733719883</v>
      </c>
    </row>
    <row r="13" spans="1:33" x14ac:dyDescent="0.2">
      <c r="A13" s="14" t="s">
        <v>942</v>
      </c>
      <c r="B13" s="57">
        <f t="shared" ref="B13:M13" si="1">IF($M$6&lt;&gt;0,(B$7-B$6)/$M$6,0)</f>
        <v>0</v>
      </c>
      <c r="C13" s="57">
        <f t="shared" si="1"/>
        <v>0</v>
      </c>
      <c r="D13" s="57">
        <f t="shared" si="1"/>
        <v>0</v>
      </c>
      <c r="E13" s="57">
        <f t="shared" si="1"/>
        <v>0</v>
      </c>
      <c r="F13" s="57">
        <f t="shared" si="1"/>
        <v>0</v>
      </c>
      <c r="G13" s="57">
        <f t="shared" si="1"/>
        <v>1.9870275580149154E-2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-2.5221714815285588E-2</v>
      </c>
      <c r="L13" s="57">
        <f t="shared" si="1"/>
        <v>0</v>
      </c>
      <c r="M13" s="57">
        <f t="shared" si="1"/>
        <v>-5.3514392351363647E-3</v>
      </c>
    </row>
    <row r="14" spans="1:33" x14ac:dyDescent="0.2">
      <c r="A14" s="14" t="s">
        <v>943</v>
      </c>
      <c r="B14" s="57">
        <f t="shared" ref="B14:M14" si="2">IF($M$10&lt;&gt;0,(B$9-B$8)/$M$10,0)</f>
        <v>0</v>
      </c>
      <c r="C14" s="57">
        <f t="shared" si="2"/>
        <v>0</v>
      </c>
      <c r="D14" s="57">
        <f t="shared" si="2"/>
        <v>0</v>
      </c>
      <c r="E14" s="57">
        <f t="shared" si="2"/>
        <v>0</v>
      </c>
      <c r="F14" s="57">
        <f t="shared" si="2"/>
        <v>0</v>
      </c>
      <c r="G14" s="57">
        <f t="shared" si="2"/>
        <v>1.9145308950691456E-2</v>
      </c>
      <c r="H14" s="57">
        <f t="shared" si="2"/>
        <v>0</v>
      </c>
      <c r="I14" s="57">
        <f t="shared" si="2"/>
        <v>0</v>
      </c>
      <c r="J14" s="57">
        <f t="shared" si="2"/>
        <v>0</v>
      </c>
      <c r="K14" s="57">
        <f t="shared" si="2"/>
        <v>-2.5203786161008084E-2</v>
      </c>
      <c r="L14" s="57">
        <f t="shared" si="2"/>
        <v>0</v>
      </c>
      <c r="M14" s="57">
        <f t="shared" si="2"/>
        <v>-6.058477210316663E-3</v>
      </c>
    </row>
    <row r="15" spans="1:33" x14ac:dyDescent="0.2">
      <c r="A15" s="14" t="s">
        <v>944</v>
      </c>
      <c r="B15" s="57">
        <f t="shared" ref="B15:M15" si="3">IF($M$8&lt;&gt;0,(B$9-B$8)/$M$8,0)</f>
        <v>0</v>
      </c>
      <c r="C15" s="57">
        <f t="shared" si="3"/>
        <v>0</v>
      </c>
      <c r="D15" s="57">
        <f t="shared" si="3"/>
        <v>0</v>
      </c>
      <c r="E15" s="57">
        <f t="shared" si="3"/>
        <v>0</v>
      </c>
      <c r="F15" s="57">
        <f t="shared" si="3"/>
        <v>0</v>
      </c>
      <c r="G15" s="57">
        <f t="shared" si="3"/>
        <v>1.9145308950691456E-2</v>
      </c>
      <c r="H15" s="57">
        <f t="shared" si="3"/>
        <v>0</v>
      </c>
      <c r="I15" s="57">
        <f t="shared" si="3"/>
        <v>0</v>
      </c>
      <c r="J15" s="57">
        <f t="shared" si="3"/>
        <v>0</v>
      </c>
      <c r="K15" s="57">
        <f t="shared" si="3"/>
        <v>-2.5203786161008084E-2</v>
      </c>
      <c r="L15" s="57">
        <f t="shared" si="3"/>
        <v>0</v>
      </c>
      <c r="M15" s="57">
        <f t="shared" si="3"/>
        <v>-6.058477210316663E-3</v>
      </c>
    </row>
  </sheetData>
  <dataValidations count="4">
    <dataValidation type="list" allowBlank="1" showInputMessage="1" showErrorMessage="1" sqref="A2 G2" xr:uid="{CBAC88B3-B151-4A65-BC1D-E3492857460F}">
      <formula1>AA1:AA5</formula1>
    </dataValidation>
    <dataValidation type="list" allowBlank="1" showInputMessage="1" showErrorMessage="1" sqref="B2 C2" xr:uid="{1418CA9F-4B56-4984-8D60-5915252C00A8}">
      <formula1>AB1:AB4</formula1>
    </dataValidation>
    <dataValidation type="list" allowBlank="1" showInputMessage="1" showErrorMessage="1" sqref="D2" xr:uid="{51822100-5775-48A9-8A38-AACADDCA66F4}">
      <formula1>AD1:AD10</formula1>
    </dataValidation>
    <dataValidation type="list" allowBlank="1" showInputMessage="1" showErrorMessage="1" sqref="E2 F2" xr:uid="{7160C410-5D27-46BC-A3DF-9EF972D7810C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3792-FC74-4BCD-AD74-020A3479A020}">
  <dimension ref="B1:U16"/>
  <sheetViews>
    <sheetView showGridLines="0" workbookViewId="0">
      <selection activeCell="U1" sqref="U1"/>
    </sheetView>
  </sheetViews>
  <sheetFormatPr defaultRowHeight="15" x14ac:dyDescent="0.25"/>
  <sheetData>
    <row r="1" spans="2:21" x14ac:dyDescent="0.25">
      <c r="B1" s="51" t="s">
        <v>556</v>
      </c>
      <c r="C1" s="51" t="s">
        <v>557</v>
      </c>
      <c r="D1" s="51" t="s">
        <v>558</v>
      </c>
      <c r="E1" s="51" t="s">
        <v>2</v>
      </c>
      <c r="F1" s="51" t="s">
        <v>559</v>
      </c>
      <c r="G1" s="51" t="s">
        <v>465</v>
      </c>
      <c r="H1" s="51" t="s">
        <v>3</v>
      </c>
      <c r="I1" s="51" t="s">
        <v>560</v>
      </c>
      <c r="J1" s="51" t="s">
        <v>5</v>
      </c>
      <c r="K1" s="51" t="s">
        <v>1</v>
      </c>
      <c r="L1" s="51" t="s">
        <v>561</v>
      </c>
      <c r="M1" s="51" t="s">
        <v>562</v>
      </c>
      <c r="N1" s="51" t="s">
        <v>563</v>
      </c>
      <c r="O1" s="51" t="s">
        <v>564</v>
      </c>
      <c r="P1" s="51" t="s">
        <v>565</v>
      </c>
      <c r="Q1" s="51" t="s">
        <v>566</v>
      </c>
      <c r="R1" s="51" t="s">
        <v>567</v>
      </c>
      <c r="S1" s="51" t="s">
        <v>568</v>
      </c>
      <c r="T1" s="51" t="s">
        <v>569</v>
      </c>
      <c r="U1" s="51" t="s">
        <v>570</v>
      </c>
    </row>
    <row r="2" spans="2:21" x14ac:dyDescent="0.25">
      <c r="B2" s="50" t="s">
        <v>541</v>
      </c>
      <c r="C2" s="50">
        <v>6027</v>
      </c>
      <c r="D2" s="50">
        <v>11763</v>
      </c>
      <c r="E2" s="50" t="s">
        <v>23</v>
      </c>
      <c r="F2" s="50">
        <v>1</v>
      </c>
      <c r="G2" s="50" t="s">
        <v>542</v>
      </c>
      <c r="H2" s="50" t="s">
        <v>40</v>
      </c>
      <c r="I2" s="50" t="s">
        <v>25</v>
      </c>
      <c r="J2" s="50" t="s">
        <v>40</v>
      </c>
      <c r="K2" s="50" t="s">
        <v>39</v>
      </c>
      <c r="L2" s="50">
        <v>0.3</v>
      </c>
      <c r="M2" s="50">
        <v>0.24</v>
      </c>
      <c r="N2" s="50">
        <v>0.18</v>
      </c>
      <c r="O2" s="50">
        <v>0.12</v>
      </c>
      <c r="P2" s="50">
        <v>0.06</v>
      </c>
      <c r="Q2" s="50">
        <v>0</v>
      </c>
      <c r="R2" s="50"/>
      <c r="S2" s="50"/>
      <c r="T2" s="50"/>
      <c r="U2" s="50">
        <v>3</v>
      </c>
    </row>
    <row r="3" spans="2:21" x14ac:dyDescent="0.25">
      <c r="B3" s="50" t="s">
        <v>543</v>
      </c>
      <c r="C3" s="50">
        <v>8062</v>
      </c>
      <c r="D3" s="50">
        <v>11763</v>
      </c>
      <c r="E3" s="50" t="s">
        <v>34</v>
      </c>
      <c r="F3" s="50">
        <v>1</v>
      </c>
      <c r="G3" s="50" t="s">
        <v>542</v>
      </c>
      <c r="H3" s="50" t="s">
        <v>40</v>
      </c>
      <c r="I3" s="50" t="s">
        <v>25</v>
      </c>
      <c r="J3" s="50" t="s">
        <v>490</v>
      </c>
      <c r="K3" s="50" t="s">
        <v>33</v>
      </c>
      <c r="L3" s="50">
        <v>0.1</v>
      </c>
      <c r="M3" s="50">
        <v>0.08</v>
      </c>
      <c r="N3" s="50">
        <v>0.06</v>
      </c>
      <c r="O3" s="50">
        <v>0.04</v>
      </c>
      <c r="P3" s="50">
        <v>0.02</v>
      </c>
      <c r="Q3" s="50">
        <v>0</v>
      </c>
      <c r="R3" s="50"/>
      <c r="S3" s="50"/>
      <c r="T3" s="50"/>
      <c r="U3" s="50">
        <v>3</v>
      </c>
    </row>
    <row r="4" spans="2:21" x14ac:dyDescent="0.25">
      <c r="B4" s="50" t="s">
        <v>544</v>
      </c>
      <c r="C4" s="50">
        <v>8063</v>
      </c>
      <c r="D4" s="50">
        <v>11763</v>
      </c>
      <c r="E4" s="50" t="s">
        <v>37</v>
      </c>
      <c r="F4" s="50">
        <v>1</v>
      </c>
      <c r="G4" s="50" t="s">
        <v>542</v>
      </c>
      <c r="H4" s="50" t="s">
        <v>40</v>
      </c>
      <c r="I4" s="50" t="s">
        <v>25</v>
      </c>
      <c r="J4" s="50" t="s">
        <v>490</v>
      </c>
      <c r="K4" s="50" t="s">
        <v>33</v>
      </c>
      <c r="L4" s="50">
        <v>0.1</v>
      </c>
      <c r="M4" s="50">
        <v>0.08</v>
      </c>
      <c r="N4" s="50">
        <v>0.06</v>
      </c>
      <c r="O4" s="50">
        <v>0.04</v>
      </c>
      <c r="P4" s="50">
        <v>0.02</v>
      </c>
      <c r="Q4" s="50">
        <v>0</v>
      </c>
      <c r="R4" s="50"/>
      <c r="S4" s="50"/>
      <c r="T4" s="50"/>
      <c r="U4" s="50">
        <v>3</v>
      </c>
    </row>
    <row r="5" spans="2:21" x14ac:dyDescent="0.25">
      <c r="B5" s="50" t="s">
        <v>545</v>
      </c>
      <c r="C5" s="50">
        <v>8064</v>
      </c>
      <c r="D5" s="50">
        <v>11763</v>
      </c>
      <c r="E5" s="50" t="s">
        <v>23</v>
      </c>
      <c r="F5" s="50">
        <v>1</v>
      </c>
      <c r="G5" s="50" t="s">
        <v>542</v>
      </c>
      <c r="H5" s="50" t="s">
        <v>40</v>
      </c>
      <c r="I5" s="50" t="s">
        <v>25</v>
      </c>
      <c r="J5" s="50" t="s">
        <v>490</v>
      </c>
      <c r="K5" s="50" t="s">
        <v>33</v>
      </c>
      <c r="L5" s="50">
        <v>0.1</v>
      </c>
      <c r="M5" s="50">
        <v>0.08</v>
      </c>
      <c r="N5" s="50">
        <v>0.06</v>
      </c>
      <c r="O5" s="50">
        <v>0.04</v>
      </c>
      <c r="P5" s="50">
        <v>0.02</v>
      </c>
      <c r="Q5" s="50">
        <v>0</v>
      </c>
      <c r="R5" s="50"/>
      <c r="S5" s="50"/>
      <c r="T5" s="50"/>
      <c r="U5" s="50">
        <v>3</v>
      </c>
    </row>
    <row r="6" spans="2:21" x14ac:dyDescent="0.25">
      <c r="B6" s="50" t="s">
        <v>546</v>
      </c>
      <c r="C6" s="50">
        <v>8065</v>
      </c>
      <c r="D6" s="50">
        <v>11763</v>
      </c>
      <c r="E6" s="50" t="s">
        <v>34</v>
      </c>
      <c r="F6" s="50">
        <v>1</v>
      </c>
      <c r="G6" s="50" t="s">
        <v>542</v>
      </c>
      <c r="H6" s="50" t="s">
        <v>45</v>
      </c>
      <c r="I6" s="50" t="s">
        <v>46</v>
      </c>
      <c r="J6" s="50" t="s">
        <v>491</v>
      </c>
      <c r="K6" s="50" t="s">
        <v>33</v>
      </c>
      <c r="L6" s="50">
        <v>0.15</v>
      </c>
      <c r="M6" s="50">
        <v>0.12</v>
      </c>
      <c r="N6" s="50">
        <v>0.09</v>
      </c>
      <c r="O6" s="50">
        <v>0.06</v>
      </c>
      <c r="P6" s="50">
        <v>0.03</v>
      </c>
      <c r="Q6" s="50">
        <v>0</v>
      </c>
      <c r="R6" s="50"/>
      <c r="S6" s="50"/>
      <c r="T6" s="50"/>
      <c r="U6" s="50">
        <v>3</v>
      </c>
    </row>
    <row r="7" spans="2:21" x14ac:dyDescent="0.25">
      <c r="B7" s="50" t="s">
        <v>547</v>
      </c>
      <c r="C7" s="50">
        <v>8066</v>
      </c>
      <c r="D7" s="50">
        <v>11763</v>
      </c>
      <c r="E7" s="50" t="s">
        <v>37</v>
      </c>
      <c r="F7" s="50">
        <v>1</v>
      </c>
      <c r="G7" s="50" t="s">
        <v>542</v>
      </c>
      <c r="H7" s="50" t="s">
        <v>45</v>
      </c>
      <c r="I7" s="50" t="s">
        <v>46</v>
      </c>
      <c r="J7" s="50" t="s">
        <v>491</v>
      </c>
      <c r="K7" s="50" t="s">
        <v>33</v>
      </c>
      <c r="L7" s="50">
        <v>0.15</v>
      </c>
      <c r="M7" s="50">
        <v>0.12</v>
      </c>
      <c r="N7" s="50">
        <v>0.09</v>
      </c>
      <c r="O7" s="50">
        <v>0.06</v>
      </c>
      <c r="P7" s="50">
        <v>0.03</v>
      </c>
      <c r="Q7" s="50">
        <v>0</v>
      </c>
      <c r="R7" s="50"/>
      <c r="S7" s="50"/>
      <c r="T7" s="50"/>
      <c r="U7" s="50">
        <v>3</v>
      </c>
    </row>
    <row r="8" spans="2:21" x14ac:dyDescent="0.25">
      <c r="B8" s="50" t="s">
        <v>548</v>
      </c>
      <c r="C8" s="50">
        <v>8067</v>
      </c>
      <c r="D8" s="50">
        <v>11763</v>
      </c>
      <c r="E8" s="50" t="s">
        <v>493</v>
      </c>
      <c r="F8" s="50">
        <v>1</v>
      </c>
      <c r="G8" s="50" t="s">
        <v>542</v>
      </c>
      <c r="H8" s="50" t="s">
        <v>45</v>
      </c>
      <c r="I8" s="50" t="s">
        <v>46</v>
      </c>
      <c r="J8" s="50" t="s">
        <v>491</v>
      </c>
      <c r="K8" s="50" t="s">
        <v>33</v>
      </c>
      <c r="L8" s="50">
        <v>0.15</v>
      </c>
      <c r="M8" s="50">
        <v>0.12</v>
      </c>
      <c r="N8" s="50">
        <v>0.09</v>
      </c>
      <c r="O8" s="50">
        <v>0.06</v>
      </c>
      <c r="P8" s="50">
        <v>0.03</v>
      </c>
      <c r="Q8" s="50">
        <v>0</v>
      </c>
      <c r="R8" s="50"/>
      <c r="S8" s="50"/>
      <c r="T8" s="50"/>
      <c r="U8" s="50">
        <v>3</v>
      </c>
    </row>
    <row r="9" spans="2:21" x14ac:dyDescent="0.25">
      <c r="B9" s="50" t="s">
        <v>541</v>
      </c>
      <c r="C9" s="50">
        <v>8068</v>
      </c>
      <c r="D9" s="50">
        <v>11763</v>
      </c>
      <c r="E9" s="50" t="s">
        <v>23</v>
      </c>
      <c r="F9" s="50">
        <v>1</v>
      </c>
      <c r="G9" s="50" t="s">
        <v>542</v>
      </c>
      <c r="H9" s="50" t="s">
        <v>40</v>
      </c>
      <c r="I9" s="50" t="s">
        <v>25</v>
      </c>
      <c r="J9" s="50" t="s">
        <v>40</v>
      </c>
      <c r="K9" s="50" t="s">
        <v>39</v>
      </c>
      <c r="L9" s="50">
        <v>0.3</v>
      </c>
      <c r="M9" s="50">
        <v>0.24</v>
      </c>
      <c r="N9" s="50">
        <v>0.18</v>
      </c>
      <c r="O9" s="50">
        <v>0.12</v>
      </c>
      <c r="P9" s="50">
        <v>0.06</v>
      </c>
      <c r="Q9" s="50">
        <v>0</v>
      </c>
      <c r="R9" s="50"/>
      <c r="S9" s="50"/>
      <c r="T9" s="50"/>
      <c r="U9" s="50">
        <v>3</v>
      </c>
    </row>
    <row r="10" spans="2:21" x14ac:dyDescent="0.25">
      <c r="B10" s="50" t="s">
        <v>549</v>
      </c>
      <c r="C10" s="50">
        <v>8069</v>
      </c>
      <c r="D10" s="50">
        <v>11763</v>
      </c>
      <c r="E10" s="50" t="s">
        <v>77</v>
      </c>
      <c r="F10" s="50">
        <v>1</v>
      </c>
      <c r="G10" s="50" t="s">
        <v>542</v>
      </c>
      <c r="H10" s="50" t="s">
        <v>40</v>
      </c>
      <c r="I10" s="50" t="s">
        <v>25</v>
      </c>
      <c r="J10" s="50" t="s">
        <v>40</v>
      </c>
      <c r="K10" s="50" t="s">
        <v>39</v>
      </c>
      <c r="L10" s="50">
        <v>0.3</v>
      </c>
      <c r="M10" s="50">
        <v>0.24</v>
      </c>
      <c r="N10" s="50">
        <v>0.18</v>
      </c>
      <c r="O10" s="50">
        <v>0.12</v>
      </c>
      <c r="P10" s="50">
        <v>0.06</v>
      </c>
      <c r="Q10" s="50">
        <v>0</v>
      </c>
      <c r="R10" s="50"/>
      <c r="S10" s="50"/>
      <c r="T10" s="50"/>
      <c r="U10" s="50">
        <v>3</v>
      </c>
    </row>
    <row r="11" spans="2:21" x14ac:dyDescent="0.25">
      <c r="B11" s="50" t="s">
        <v>550</v>
      </c>
      <c r="C11" s="50">
        <v>8070</v>
      </c>
      <c r="D11" s="50">
        <v>11763</v>
      </c>
      <c r="E11" s="50" t="s">
        <v>23</v>
      </c>
      <c r="F11" s="50">
        <v>1</v>
      </c>
      <c r="G11" s="50" t="s">
        <v>542</v>
      </c>
      <c r="H11" s="50" t="s">
        <v>40</v>
      </c>
      <c r="I11" s="50" t="s">
        <v>80</v>
      </c>
      <c r="J11" s="50" t="s">
        <v>491</v>
      </c>
      <c r="K11" s="50" t="s">
        <v>39</v>
      </c>
      <c r="L11" s="50">
        <v>0.3</v>
      </c>
      <c r="M11" s="50">
        <v>0.24</v>
      </c>
      <c r="N11" s="50">
        <v>0.18</v>
      </c>
      <c r="O11" s="50">
        <v>0.12</v>
      </c>
      <c r="P11" s="50">
        <v>0.06</v>
      </c>
      <c r="Q11" s="50">
        <v>0</v>
      </c>
      <c r="R11" s="50"/>
      <c r="S11" s="50"/>
      <c r="T11" s="50"/>
      <c r="U11" s="50">
        <v>3</v>
      </c>
    </row>
    <row r="12" spans="2:21" x14ac:dyDescent="0.25">
      <c r="B12" s="50" t="s">
        <v>551</v>
      </c>
      <c r="C12" s="50">
        <v>8071</v>
      </c>
      <c r="D12" s="50">
        <v>11763</v>
      </c>
      <c r="E12" s="50" t="s">
        <v>492</v>
      </c>
      <c r="F12" s="50">
        <v>1</v>
      </c>
      <c r="G12" s="50" t="s">
        <v>542</v>
      </c>
      <c r="H12" s="50" t="s">
        <v>40</v>
      </c>
      <c r="I12" s="50" t="s">
        <v>80</v>
      </c>
      <c r="J12" s="50" t="s">
        <v>491</v>
      </c>
      <c r="K12" s="50" t="s">
        <v>39</v>
      </c>
      <c r="L12" s="50">
        <v>0.3</v>
      </c>
      <c r="M12" s="50">
        <v>0.24</v>
      </c>
      <c r="N12" s="50">
        <v>0.18</v>
      </c>
      <c r="O12" s="50">
        <v>0.12</v>
      </c>
      <c r="P12" s="50">
        <v>0.06</v>
      </c>
      <c r="Q12" s="50">
        <v>0</v>
      </c>
      <c r="R12" s="50"/>
      <c r="S12" s="50"/>
      <c r="T12" s="50"/>
      <c r="U12" s="50">
        <v>3</v>
      </c>
    </row>
    <row r="13" spans="2:21" x14ac:dyDescent="0.25">
      <c r="B13" s="50" t="s">
        <v>552</v>
      </c>
      <c r="C13" s="50">
        <v>8072</v>
      </c>
      <c r="D13" s="50">
        <v>11763</v>
      </c>
      <c r="E13" s="50" t="s">
        <v>23</v>
      </c>
      <c r="F13" s="50">
        <v>1</v>
      </c>
      <c r="G13" s="50" t="s">
        <v>542</v>
      </c>
      <c r="H13" s="50" t="s">
        <v>40</v>
      </c>
      <c r="I13" s="50" t="s">
        <v>81</v>
      </c>
      <c r="J13" s="50" t="s">
        <v>491</v>
      </c>
      <c r="K13" s="50" t="s">
        <v>39</v>
      </c>
      <c r="L13" s="50">
        <v>0.4</v>
      </c>
      <c r="M13" s="50">
        <v>0.32</v>
      </c>
      <c r="N13" s="50">
        <v>0.24</v>
      </c>
      <c r="O13" s="50">
        <v>0.16</v>
      </c>
      <c r="P13" s="50">
        <v>0.08</v>
      </c>
      <c r="Q13" s="50">
        <v>0</v>
      </c>
      <c r="R13" s="50"/>
      <c r="S13" s="50"/>
      <c r="T13" s="50"/>
      <c r="U13" s="50">
        <v>3</v>
      </c>
    </row>
    <row r="14" spans="2:21" x14ac:dyDescent="0.25">
      <c r="B14" s="50" t="s">
        <v>553</v>
      </c>
      <c r="C14" s="50">
        <v>8073</v>
      </c>
      <c r="D14" s="50">
        <v>11763</v>
      </c>
      <c r="E14" s="50" t="s">
        <v>492</v>
      </c>
      <c r="F14" s="50">
        <v>1</v>
      </c>
      <c r="G14" s="50" t="s">
        <v>542</v>
      </c>
      <c r="H14" s="50" t="s">
        <v>40</v>
      </c>
      <c r="I14" s="50" t="s">
        <v>81</v>
      </c>
      <c r="J14" s="50" t="s">
        <v>491</v>
      </c>
      <c r="K14" s="50" t="s">
        <v>39</v>
      </c>
      <c r="L14" s="50">
        <v>0.4</v>
      </c>
      <c r="M14" s="50">
        <v>0.32</v>
      </c>
      <c r="N14" s="50">
        <v>0.24</v>
      </c>
      <c r="O14" s="50">
        <v>0.16</v>
      </c>
      <c r="P14" s="50">
        <v>0.08</v>
      </c>
      <c r="Q14" s="50">
        <v>0</v>
      </c>
      <c r="R14" s="50"/>
      <c r="S14" s="50"/>
      <c r="T14" s="50"/>
      <c r="U14" s="50">
        <v>3</v>
      </c>
    </row>
    <row r="15" spans="2:21" x14ac:dyDescent="0.25">
      <c r="B15" s="50" t="s">
        <v>554</v>
      </c>
      <c r="C15" s="50">
        <v>8074</v>
      </c>
      <c r="D15" s="50">
        <v>11763</v>
      </c>
      <c r="E15" s="50" t="s">
        <v>23</v>
      </c>
      <c r="F15" s="50">
        <v>1</v>
      </c>
      <c r="G15" s="50" t="s">
        <v>542</v>
      </c>
      <c r="H15" s="50" t="s">
        <v>45</v>
      </c>
      <c r="I15" s="50" t="s">
        <v>46</v>
      </c>
      <c r="J15" s="50" t="s">
        <v>491</v>
      </c>
      <c r="K15" s="50" t="s">
        <v>31</v>
      </c>
      <c r="L15" s="50">
        <v>0.15</v>
      </c>
      <c r="M15" s="50">
        <v>0.12</v>
      </c>
      <c r="N15" s="50">
        <v>0.09</v>
      </c>
      <c r="O15" s="50">
        <v>0.06</v>
      </c>
      <c r="P15" s="50">
        <v>0.03</v>
      </c>
      <c r="Q15" s="50">
        <v>0</v>
      </c>
      <c r="R15" s="50"/>
      <c r="S15" s="50"/>
      <c r="T15" s="50"/>
      <c r="U15" s="50">
        <v>3</v>
      </c>
    </row>
    <row r="16" spans="2:21" x14ac:dyDescent="0.25">
      <c r="B16" s="50" t="s">
        <v>555</v>
      </c>
      <c r="C16" s="50">
        <v>8075</v>
      </c>
      <c r="D16" s="50">
        <v>11763</v>
      </c>
      <c r="E16" s="50" t="s">
        <v>77</v>
      </c>
      <c r="F16" s="50">
        <v>1</v>
      </c>
      <c r="G16" s="50" t="s">
        <v>542</v>
      </c>
      <c r="H16" s="50" t="s">
        <v>45</v>
      </c>
      <c r="I16" s="50" t="s">
        <v>46</v>
      </c>
      <c r="J16" s="50" t="s">
        <v>491</v>
      </c>
      <c r="K16" s="50" t="s">
        <v>31</v>
      </c>
      <c r="L16" s="50">
        <v>0.15</v>
      </c>
      <c r="M16" s="50">
        <v>0.12</v>
      </c>
      <c r="N16" s="50">
        <v>0.09</v>
      </c>
      <c r="O16" s="50">
        <v>0.06</v>
      </c>
      <c r="P16" s="50">
        <v>0.03</v>
      </c>
      <c r="Q16" s="50">
        <v>0</v>
      </c>
      <c r="R16" s="50"/>
      <c r="S16" s="50"/>
      <c r="T16" s="50"/>
      <c r="U16" s="50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7DFE-D958-4100-B9D9-A656CFA39DE9}">
  <dimension ref="A1:L18"/>
  <sheetViews>
    <sheetView showGridLines="0" workbookViewId="0">
      <selection activeCell="F8" sqref="F8"/>
    </sheetView>
  </sheetViews>
  <sheetFormatPr defaultRowHeight="11.25" x14ac:dyDescent="0.2"/>
  <cols>
    <col min="1" max="1" width="31.42578125" style="14" bestFit="1" customWidth="1"/>
    <col min="2" max="2" width="18.42578125" style="14" customWidth="1"/>
    <col min="3" max="12" width="11" style="14" customWidth="1"/>
    <col min="13" max="16384" width="9.140625" style="14"/>
  </cols>
  <sheetData>
    <row r="1" spans="1:12" ht="12" thickBot="1" x14ac:dyDescent="0.25">
      <c r="A1" s="86" t="s">
        <v>959</v>
      </c>
      <c r="B1" s="86" t="s">
        <v>22</v>
      </c>
      <c r="C1" s="86" t="s">
        <v>958</v>
      </c>
      <c r="D1" s="86" t="s">
        <v>957</v>
      </c>
      <c r="E1" s="86" t="s">
        <v>31</v>
      </c>
      <c r="F1" s="86" t="s">
        <v>956</v>
      </c>
      <c r="G1" s="86" t="s">
        <v>955</v>
      </c>
      <c r="H1" s="86" t="s">
        <v>458</v>
      </c>
      <c r="I1" s="86" t="s">
        <v>33</v>
      </c>
      <c r="J1" s="86" t="s">
        <v>457</v>
      </c>
      <c r="K1" s="86" t="s">
        <v>456</v>
      </c>
      <c r="L1" s="86" t="s">
        <v>455</v>
      </c>
    </row>
    <row r="2" spans="1:12" x14ac:dyDescent="0.2">
      <c r="A2" s="82" t="s">
        <v>954</v>
      </c>
      <c r="B2" s="88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-4.9509752305506678E-3</v>
      </c>
      <c r="C2" s="88">
        <f t="shared" si="0"/>
        <v>-4.6562743239702709E-3</v>
      </c>
      <c r="D2" s="88">
        <f t="shared" si="0"/>
        <v>-4.5580406884434708E-3</v>
      </c>
      <c r="E2" s="88">
        <f t="shared" si="0"/>
        <v>-4.9509752305506678E-3</v>
      </c>
      <c r="F2" s="88">
        <f t="shared" si="0"/>
        <v>-2.7210717040923311E-3</v>
      </c>
      <c r="G2" s="88">
        <f t="shared" si="0"/>
        <v>-2.9764791564620085E-3</v>
      </c>
      <c r="H2" s="88">
        <f t="shared" si="0"/>
        <v>0</v>
      </c>
      <c r="I2" s="88">
        <f t="shared" si="0"/>
        <v>-8.0128940794646844E-3</v>
      </c>
      <c r="J2" s="88">
        <f t="shared" si="0"/>
        <v>0</v>
      </c>
      <c r="K2" s="88">
        <f t="shared" si="0"/>
        <v>0</v>
      </c>
      <c r="L2" s="88">
        <f t="shared" si="0"/>
        <v>0</v>
      </c>
    </row>
    <row r="3" spans="1:12" ht="12" thickBot="1" x14ac:dyDescent="0.25">
      <c r="A3" s="80" t="s">
        <v>953</v>
      </c>
      <c r="B3" s="87">
        <v>5.04</v>
      </c>
      <c r="C3" s="87">
        <v>4.74</v>
      </c>
      <c r="D3" s="87">
        <v>4.6399999999999997</v>
      </c>
      <c r="E3" s="87">
        <v>5.04</v>
      </c>
      <c r="F3" s="87">
        <v>2.77</v>
      </c>
      <c r="G3" s="87">
        <v>3.03</v>
      </c>
      <c r="H3" s="87">
        <v>0</v>
      </c>
      <c r="I3" s="87">
        <f>'TUSD BE'!$AC$6</f>
        <v>8.1569760057172083</v>
      </c>
      <c r="J3" s="87">
        <v>0</v>
      </c>
      <c r="K3" s="87">
        <v>0</v>
      </c>
      <c r="L3" s="87">
        <v>0</v>
      </c>
    </row>
    <row r="5" spans="1:12" ht="12" thickBot="1" x14ac:dyDescent="0.25">
      <c r="A5" s="86" t="s">
        <v>952</v>
      </c>
      <c r="B5" s="86" t="s">
        <v>951</v>
      </c>
    </row>
    <row r="6" spans="1:12" x14ac:dyDescent="0.2">
      <c r="A6" s="82" t="s">
        <v>950</v>
      </c>
      <c r="B6" s="85">
        <v>8.1942000000000001E-2</v>
      </c>
    </row>
    <row r="7" spans="1:12" x14ac:dyDescent="0.2">
      <c r="A7" s="84" t="s">
        <v>949</v>
      </c>
      <c r="B7" s="83">
        <v>0</v>
      </c>
    </row>
    <row r="8" spans="1:12" x14ac:dyDescent="0.2">
      <c r="A8" s="82" t="s">
        <v>948</v>
      </c>
      <c r="B8" s="81">
        <v>4510443.0453111222</v>
      </c>
    </row>
    <row r="9" spans="1:12" x14ac:dyDescent="0.2">
      <c r="A9" s="84" t="s">
        <v>947</v>
      </c>
      <c r="B9" s="83">
        <v>0.04</v>
      </c>
    </row>
    <row r="10" spans="1:12" x14ac:dyDescent="0.2">
      <c r="A10" s="82" t="s">
        <v>946</v>
      </c>
      <c r="B10" s="81">
        <v>4510478.21</v>
      </c>
    </row>
    <row r="11" spans="1:12" ht="12" thickBot="1" x14ac:dyDescent="0.25">
      <c r="A11" s="80" t="s">
        <v>945</v>
      </c>
      <c r="B11" s="79">
        <f>(1+$B$6)^(1/IF($B$9&lt;&gt;0,$B$9,1))*$B$6/IF((1+$B$6)^(1/IF($B$9&lt;&gt;0,$B$9,1))-1&lt;&gt;0,(1+$B$6)^(1/IF($B$9&lt;&gt;0,$B$9,1))-1,1)</f>
        <v>9.5237635612765312E-2</v>
      </c>
    </row>
    <row r="18" spans="2:2" x14ac:dyDescent="0.2">
      <c r="B18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DCC2-451A-4D60-A765-90F759AADBFD}">
  <dimension ref="B1:AT49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2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32" t="s">
        <v>999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</row>
    <row r="2" spans="2:46" ht="12" customHeight="1" x14ac:dyDescent="0.25">
      <c r="L2" s="133" t="s">
        <v>323</v>
      </c>
      <c r="M2" s="133"/>
      <c r="N2" s="133"/>
      <c r="O2" s="133"/>
      <c r="P2" s="133"/>
      <c r="Q2" s="133"/>
      <c r="R2" s="133"/>
      <c r="S2" s="134"/>
      <c r="T2" s="133" t="s">
        <v>332</v>
      </c>
      <c r="U2" s="133"/>
      <c r="V2" s="133"/>
      <c r="W2" s="133"/>
      <c r="X2" s="133"/>
      <c r="Y2" s="133"/>
      <c r="Z2" s="134"/>
      <c r="AA2" s="135" t="s">
        <v>340</v>
      </c>
      <c r="AB2" s="133" t="s">
        <v>25</v>
      </c>
      <c r="AC2" s="133"/>
      <c r="AD2" s="134"/>
      <c r="AE2" s="133" t="s">
        <v>998</v>
      </c>
      <c r="AF2" s="133"/>
      <c r="AG2" s="133"/>
      <c r="AH2" s="134"/>
      <c r="AI2" s="133" t="s">
        <v>323</v>
      </c>
      <c r="AJ2" s="133"/>
      <c r="AK2" s="133"/>
      <c r="AL2" s="133"/>
      <c r="AM2" s="134"/>
      <c r="AN2" s="135" t="s">
        <v>354</v>
      </c>
      <c r="AO2" s="133" t="s">
        <v>332</v>
      </c>
      <c r="AP2" s="133"/>
      <c r="AQ2" s="133"/>
      <c r="AR2" s="133"/>
      <c r="AS2" s="134"/>
      <c r="AT2" s="136" t="s">
        <v>998</v>
      </c>
    </row>
    <row r="3" spans="2:46" ht="12" customHeight="1" x14ac:dyDescent="0.25">
      <c r="B3" s="123" t="s">
        <v>53</v>
      </c>
      <c r="C3" s="124" t="s">
        <v>54</v>
      </c>
      <c r="D3" s="124" t="s">
        <v>55</v>
      </c>
      <c r="E3" s="124" t="s">
        <v>56</v>
      </c>
      <c r="F3" s="124" t="s">
        <v>57</v>
      </c>
      <c r="G3" s="124" t="s">
        <v>59</v>
      </c>
      <c r="H3" s="124" t="s">
        <v>60</v>
      </c>
      <c r="I3" s="124" t="s">
        <v>601</v>
      </c>
      <c r="J3" s="124" t="s">
        <v>960</v>
      </c>
      <c r="K3" s="124" t="s">
        <v>961</v>
      </c>
      <c r="L3" s="124" t="s">
        <v>962</v>
      </c>
      <c r="M3" s="124" t="s">
        <v>963</v>
      </c>
      <c r="N3" s="124" t="s">
        <v>964</v>
      </c>
      <c r="O3" s="124" t="s">
        <v>965</v>
      </c>
      <c r="P3" s="124" t="s">
        <v>966</v>
      </c>
      <c r="Q3" s="124" t="s">
        <v>967</v>
      </c>
      <c r="R3" s="124" t="s">
        <v>968</v>
      </c>
      <c r="S3" s="124" t="s">
        <v>969</v>
      </c>
      <c r="T3" s="124" t="s">
        <v>970</v>
      </c>
      <c r="U3" s="124" t="s">
        <v>971</v>
      </c>
      <c r="V3" s="124" t="s">
        <v>972</v>
      </c>
      <c r="W3" s="124" t="s">
        <v>973</v>
      </c>
      <c r="X3" s="124" t="s">
        <v>974</v>
      </c>
      <c r="Y3" s="124" t="s">
        <v>975</v>
      </c>
      <c r="Z3" s="124" t="s">
        <v>976</v>
      </c>
      <c r="AA3" s="124" t="s">
        <v>977</v>
      </c>
      <c r="AB3" s="124" t="s">
        <v>978</v>
      </c>
      <c r="AC3" s="124" t="s">
        <v>979</v>
      </c>
      <c r="AD3" s="124" t="s">
        <v>980</v>
      </c>
      <c r="AE3" s="124" t="s">
        <v>981</v>
      </c>
      <c r="AF3" s="124" t="s">
        <v>982</v>
      </c>
      <c r="AG3" s="124" t="s">
        <v>983</v>
      </c>
      <c r="AH3" s="124" t="s">
        <v>984</v>
      </c>
      <c r="AI3" s="124" t="s">
        <v>985</v>
      </c>
      <c r="AJ3" s="124" t="s">
        <v>986</v>
      </c>
      <c r="AK3" s="124" t="s">
        <v>987</v>
      </c>
      <c r="AL3" s="124" t="s">
        <v>988</v>
      </c>
      <c r="AM3" s="124" t="s">
        <v>989</v>
      </c>
      <c r="AN3" s="124" t="s">
        <v>990</v>
      </c>
      <c r="AO3" s="124" t="s">
        <v>991</v>
      </c>
      <c r="AP3" s="124" t="s">
        <v>992</v>
      </c>
      <c r="AQ3" s="124" t="s">
        <v>993</v>
      </c>
      <c r="AR3" s="124" t="s">
        <v>994</v>
      </c>
      <c r="AS3" s="124" t="s">
        <v>995</v>
      </c>
      <c r="AT3" s="125" t="s">
        <v>996</v>
      </c>
    </row>
    <row r="4" spans="2:46" ht="12" customHeight="1" x14ac:dyDescent="0.25">
      <c r="B4" s="126" t="s">
        <v>33</v>
      </c>
      <c r="C4" s="127" t="s">
        <v>34</v>
      </c>
      <c r="D4" s="127" t="s">
        <v>25</v>
      </c>
      <c r="E4" s="127" t="s">
        <v>25</v>
      </c>
      <c r="F4" s="127" t="s">
        <v>70</v>
      </c>
      <c r="G4" s="127" t="s">
        <v>35</v>
      </c>
      <c r="H4" s="127" t="s">
        <v>63</v>
      </c>
      <c r="I4" s="127" t="s">
        <v>25</v>
      </c>
      <c r="J4" s="127">
        <v>6.98</v>
      </c>
      <c r="K4" s="127">
        <v>0</v>
      </c>
      <c r="L4" s="127">
        <v>0</v>
      </c>
      <c r="M4" s="127">
        <v>0.33436141276092501</v>
      </c>
      <c r="N4" s="127">
        <v>0</v>
      </c>
      <c r="O4" s="127">
        <v>0</v>
      </c>
      <c r="P4" s="127">
        <v>0</v>
      </c>
      <c r="Q4" s="127">
        <v>0</v>
      </c>
      <c r="R4" s="127">
        <v>0</v>
      </c>
      <c r="S4" s="127">
        <v>0</v>
      </c>
      <c r="T4" s="127">
        <v>0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0</v>
      </c>
      <c r="AA4" s="127">
        <v>0</v>
      </c>
      <c r="AB4" s="127">
        <v>-0.17712128232447499</v>
      </c>
      <c r="AC4" s="127">
        <v>0</v>
      </c>
      <c r="AD4" s="127">
        <v>0</v>
      </c>
      <c r="AE4" s="127">
        <v>6.8205906438043602</v>
      </c>
      <c r="AF4" s="127">
        <v>0</v>
      </c>
      <c r="AG4" s="127">
        <v>0</v>
      </c>
      <c r="AH4" s="127">
        <v>0</v>
      </c>
      <c r="AI4" s="127">
        <v>0</v>
      </c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27">
        <v>0</v>
      </c>
      <c r="AR4" s="127">
        <v>0</v>
      </c>
      <c r="AS4" s="127">
        <v>0</v>
      </c>
      <c r="AT4" s="128">
        <v>0</v>
      </c>
    </row>
    <row r="5" spans="2:46" ht="12" customHeight="1" x14ac:dyDescent="0.25">
      <c r="B5" s="126" t="s">
        <v>33</v>
      </c>
      <c r="C5" s="127" t="s">
        <v>34</v>
      </c>
      <c r="D5" s="127" t="s">
        <v>25</v>
      </c>
      <c r="E5" s="127" t="s">
        <v>25</v>
      </c>
      <c r="F5" s="127" t="s">
        <v>70</v>
      </c>
      <c r="G5" s="127" t="s">
        <v>35</v>
      </c>
      <c r="H5" s="127" t="s">
        <v>66</v>
      </c>
      <c r="I5" s="127" t="s">
        <v>25</v>
      </c>
      <c r="J5" s="127">
        <v>40.93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12.1669132524239</v>
      </c>
      <c r="Y5" s="127">
        <v>0</v>
      </c>
      <c r="Z5" s="127">
        <v>0</v>
      </c>
      <c r="AA5" s="127">
        <v>29.802953040694</v>
      </c>
      <c r="AB5" s="127">
        <v>-1.03774592638415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>
        <v>0</v>
      </c>
      <c r="AN5" s="127">
        <v>0</v>
      </c>
      <c r="AO5" s="127">
        <v>0</v>
      </c>
      <c r="AP5" s="127">
        <v>0</v>
      </c>
      <c r="AQ5" s="127">
        <v>0</v>
      </c>
      <c r="AR5" s="127">
        <v>0</v>
      </c>
      <c r="AS5" s="127">
        <v>0</v>
      </c>
      <c r="AT5" s="128">
        <v>0</v>
      </c>
    </row>
    <row r="6" spans="2:46" ht="12" customHeight="1" x14ac:dyDescent="0.25">
      <c r="B6" s="126" t="s">
        <v>33</v>
      </c>
      <c r="C6" s="127" t="s">
        <v>34</v>
      </c>
      <c r="D6" s="127" t="s">
        <v>25</v>
      </c>
      <c r="E6" s="127" t="s">
        <v>25</v>
      </c>
      <c r="F6" s="127" t="s">
        <v>70</v>
      </c>
      <c r="G6" s="127" t="s">
        <v>36</v>
      </c>
      <c r="H6" s="127" t="s">
        <v>63</v>
      </c>
      <c r="I6" s="127" t="s">
        <v>25</v>
      </c>
      <c r="J6" s="127">
        <v>6.98</v>
      </c>
      <c r="K6" s="127">
        <v>0</v>
      </c>
      <c r="L6" s="127">
        <v>0</v>
      </c>
      <c r="M6" s="127">
        <v>0.33436141276092501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-0.17712128232447499</v>
      </c>
      <c r="AC6" s="127">
        <v>0</v>
      </c>
      <c r="AD6" s="127">
        <v>0</v>
      </c>
      <c r="AE6" s="127">
        <v>6.8205906438043602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>
        <v>0</v>
      </c>
      <c r="AN6" s="127">
        <v>0</v>
      </c>
      <c r="AO6" s="127">
        <v>0</v>
      </c>
      <c r="AP6" s="127">
        <v>0</v>
      </c>
      <c r="AQ6" s="127">
        <v>0</v>
      </c>
      <c r="AR6" s="127">
        <v>0</v>
      </c>
      <c r="AS6" s="127">
        <v>0</v>
      </c>
      <c r="AT6" s="128">
        <v>0</v>
      </c>
    </row>
    <row r="7" spans="2:46" ht="12" customHeight="1" x14ac:dyDescent="0.25">
      <c r="B7" s="126" t="s">
        <v>33</v>
      </c>
      <c r="C7" s="127" t="s">
        <v>34</v>
      </c>
      <c r="D7" s="127" t="s">
        <v>25</v>
      </c>
      <c r="E7" s="127" t="s">
        <v>25</v>
      </c>
      <c r="F7" s="127" t="s">
        <v>70</v>
      </c>
      <c r="G7" s="127" t="s">
        <v>36</v>
      </c>
      <c r="H7" s="127" t="s">
        <v>66</v>
      </c>
      <c r="I7" s="127" t="s">
        <v>25</v>
      </c>
      <c r="J7" s="127">
        <v>14.79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7.0035682745229897</v>
      </c>
      <c r="Y7" s="127">
        <v>0</v>
      </c>
      <c r="Z7" s="127">
        <v>0</v>
      </c>
      <c r="AA7" s="127">
        <v>8.15697600571721</v>
      </c>
      <c r="AB7" s="127">
        <v>-0.37299543253084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0</v>
      </c>
      <c r="AN7" s="127">
        <v>0</v>
      </c>
      <c r="AO7" s="127">
        <v>0</v>
      </c>
      <c r="AP7" s="127">
        <v>0</v>
      </c>
      <c r="AQ7" s="127">
        <v>0</v>
      </c>
      <c r="AR7" s="127">
        <v>0</v>
      </c>
      <c r="AS7" s="127">
        <v>0</v>
      </c>
      <c r="AT7" s="128">
        <v>0</v>
      </c>
    </row>
    <row r="8" spans="2:46" ht="12" customHeight="1" x14ac:dyDescent="0.25">
      <c r="B8" s="126" t="s">
        <v>33</v>
      </c>
      <c r="C8" s="127" t="s">
        <v>34</v>
      </c>
      <c r="D8" s="127" t="s">
        <v>25</v>
      </c>
      <c r="E8" s="127" t="s">
        <v>25</v>
      </c>
      <c r="F8" s="127" t="s">
        <v>25</v>
      </c>
      <c r="G8" s="127" t="s">
        <v>35</v>
      </c>
      <c r="H8" s="127" t="s">
        <v>63</v>
      </c>
      <c r="I8" s="127" t="s">
        <v>25</v>
      </c>
      <c r="J8" s="127">
        <v>93.33</v>
      </c>
      <c r="K8" s="127">
        <v>239.91</v>
      </c>
      <c r="L8" s="127">
        <v>0</v>
      </c>
      <c r="M8" s="127">
        <v>0.33436141276092501</v>
      </c>
      <c r="N8" s="127">
        <v>0</v>
      </c>
      <c r="O8" s="127">
        <v>0</v>
      </c>
      <c r="P8" s="127">
        <v>0</v>
      </c>
      <c r="Q8" s="127">
        <v>74.551261350594004</v>
      </c>
      <c r="R8" s="127">
        <v>14.030696755938701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-2.4107379531839999</v>
      </c>
      <c r="AC8" s="127">
        <v>0</v>
      </c>
      <c r="AD8" s="127">
        <v>0</v>
      </c>
      <c r="AE8" s="127">
        <v>6.8205906438043602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>
        <v>0</v>
      </c>
      <c r="AN8" s="127">
        <v>245.99468253937599</v>
      </c>
      <c r="AO8" s="127">
        <v>0</v>
      </c>
      <c r="AP8" s="127">
        <v>0</v>
      </c>
      <c r="AQ8" s="127">
        <v>0</v>
      </c>
      <c r="AR8" s="127">
        <v>-6.0835263833486204</v>
      </c>
      <c r="AS8" s="127">
        <v>0</v>
      </c>
      <c r="AT8" s="128">
        <v>0</v>
      </c>
    </row>
    <row r="9" spans="2:46" ht="12" customHeight="1" x14ac:dyDescent="0.25">
      <c r="B9" s="126" t="s">
        <v>33</v>
      </c>
      <c r="C9" s="127" t="s">
        <v>34</v>
      </c>
      <c r="D9" s="127" t="s">
        <v>25</v>
      </c>
      <c r="E9" s="127" t="s">
        <v>25</v>
      </c>
      <c r="F9" s="127" t="s">
        <v>25</v>
      </c>
      <c r="G9" s="127" t="s">
        <v>35</v>
      </c>
      <c r="H9" s="127" t="s">
        <v>66</v>
      </c>
      <c r="I9" s="127" t="s">
        <v>25</v>
      </c>
      <c r="J9" s="127">
        <v>40.93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12.1669132524239</v>
      </c>
      <c r="Y9" s="127">
        <v>0</v>
      </c>
      <c r="Z9" s="127">
        <v>0</v>
      </c>
      <c r="AA9" s="127">
        <v>29.802953040694</v>
      </c>
      <c r="AB9" s="127">
        <v>-1.03774592638415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8">
        <v>0</v>
      </c>
    </row>
    <row r="10" spans="2:46" ht="12" customHeight="1" x14ac:dyDescent="0.25">
      <c r="B10" s="126" t="s">
        <v>33</v>
      </c>
      <c r="C10" s="127" t="s">
        <v>34</v>
      </c>
      <c r="D10" s="127" t="s">
        <v>25</v>
      </c>
      <c r="E10" s="127" t="s">
        <v>25</v>
      </c>
      <c r="F10" s="127" t="s">
        <v>25</v>
      </c>
      <c r="G10" s="127" t="s">
        <v>36</v>
      </c>
      <c r="H10" s="127" t="s">
        <v>63</v>
      </c>
      <c r="I10" s="127" t="s">
        <v>25</v>
      </c>
      <c r="J10" s="127">
        <v>93.33</v>
      </c>
      <c r="K10" s="127">
        <v>239.91</v>
      </c>
      <c r="L10" s="127">
        <v>0</v>
      </c>
      <c r="M10" s="127">
        <v>0.33436141276092501</v>
      </c>
      <c r="N10" s="127">
        <v>0</v>
      </c>
      <c r="O10" s="127">
        <v>0</v>
      </c>
      <c r="P10" s="127">
        <v>0</v>
      </c>
      <c r="Q10" s="127">
        <v>74.551261350594004</v>
      </c>
      <c r="R10" s="127">
        <v>14.030696755938701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-2.4107379531839999</v>
      </c>
      <c r="AC10" s="127">
        <v>0</v>
      </c>
      <c r="AD10" s="127">
        <v>0</v>
      </c>
      <c r="AE10" s="127">
        <v>6.8205906438043602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245.99468253937599</v>
      </c>
      <c r="AO10" s="127">
        <v>0</v>
      </c>
      <c r="AP10" s="127">
        <v>0</v>
      </c>
      <c r="AQ10" s="127">
        <v>0</v>
      </c>
      <c r="AR10" s="127">
        <v>-6.0835263833486204</v>
      </c>
      <c r="AS10" s="127">
        <v>0</v>
      </c>
      <c r="AT10" s="128">
        <v>0</v>
      </c>
    </row>
    <row r="11" spans="2:46" ht="12" customHeight="1" x14ac:dyDescent="0.25">
      <c r="B11" s="126" t="s">
        <v>33</v>
      </c>
      <c r="C11" s="127" t="s">
        <v>34</v>
      </c>
      <c r="D11" s="127" t="s">
        <v>25</v>
      </c>
      <c r="E11" s="127" t="s">
        <v>25</v>
      </c>
      <c r="F11" s="127" t="s">
        <v>25</v>
      </c>
      <c r="G11" s="127" t="s">
        <v>36</v>
      </c>
      <c r="H11" s="127" t="s">
        <v>66</v>
      </c>
      <c r="I11" s="127" t="s">
        <v>25</v>
      </c>
      <c r="J11" s="127">
        <v>14.79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7.0035682745229897</v>
      </c>
      <c r="Y11" s="127">
        <v>0</v>
      </c>
      <c r="Z11" s="127">
        <v>0</v>
      </c>
      <c r="AA11" s="127">
        <v>8.15697600571721</v>
      </c>
      <c r="AB11" s="127">
        <v>-0.37299543253084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8">
        <v>0</v>
      </c>
    </row>
    <row r="12" spans="2:46" ht="12" customHeight="1" x14ac:dyDescent="0.25">
      <c r="B12" s="126" t="s">
        <v>33</v>
      </c>
      <c r="C12" s="127" t="s">
        <v>71</v>
      </c>
      <c r="D12" s="127" t="s">
        <v>25</v>
      </c>
      <c r="E12" s="127" t="s">
        <v>25</v>
      </c>
      <c r="F12" s="127" t="s">
        <v>25</v>
      </c>
      <c r="G12" s="127" t="s">
        <v>25</v>
      </c>
      <c r="H12" s="127" t="s">
        <v>66</v>
      </c>
      <c r="I12" s="127" t="s">
        <v>25</v>
      </c>
      <c r="J12" s="127">
        <v>4.45</v>
      </c>
      <c r="K12" s="127">
        <v>0</v>
      </c>
      <c r="L12" s="127">
        <v>0</v>
      </c>
      <c r="M12" s="127">
        <v>1.1622532280595401E-2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4.5526295665628398</v>
      </c>
      <c r="AB12" s="127">
        <v>-0.113812643817726</v>
      </c>
      <c r="AC12" s="127">
        <v>0</v>
      </c>
      <c r="AD12" s="127">
        <v>0</v>
      </c>
      <c r="AE12" s="127">
        <v>3.1781327262496401E-4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>
        <v>0</v>
      </c>
      <c r="AN12" s="127">
        <v>0</v>
      </c>
      <c r="AO12" s="127">
        <v>0</v>
      </c>
      <c r="AP12" s="127">
        <v>0</v>
      </c>
      <c r="AQ12" s="127">
        <v>0</v>
      </c>
      <c r="AR12" s="127">
        <v>0</v>
      </c>
      <c r="AS12" s="127">
        <v>0</v>
      </c>
      <c r="AT12" s="128">
        <v>0</v>
      </c>
    </row>
    <row r="13" spans="2:46" ht="12" customHeight="1" x14ac:dyDescent="0.25">
      <c r="B13" s="126" t="s">
        <v>33</v>
      </c>
      <c r="C13" s="127" t="s">
        <v>37</v>
      </c>
      <c r="D13" s="127" t="s">
        <v>25</v>
      </c>
      <c r="E13" s="127" t="s">
        <v>25</v>
      </c>
      <c r="F13" s="127" t="s">
        <v>70</v>
      </c>
      <c r="G13" s="127" t="s">
        <v>35</v>
      </c>
      <c r="H13" s="127" t="s">
        <v>63</v>
      </c>
      <c r="I13" s="127" t="s">
        <v>25</v>
      </c>
      <c r="J13" s="127">
        <v>991.55</v>
      </c>
      <c r="K13" s="127">
        <v>0</v>
      </c>
      <c r="L13" s="127">
        <v>0</v>
      </c>
      <c r="M13" s="127">
        <v>0.33436141276092501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292.77416661889902</v>
      </c>
      <c r="Y13" s="127">
        <v>0</v>
      </c>
      <c r="Z13" s="127">
        <v>0</v>
      </c>
      <c r="AA13" s="127">
        <v>716.76051695043896</v>
      </c>
      <c r="AB13" s="127">
        <v>-25.138770879229199</v>
      </c>
      <c r="AC13" s="127">
        <v>0</v>
      </c>
      <c r="AD13" s="127">
        <v>0</v>
      </c>
      <c r="AE13" s="127">
        <v>6.8205906438043602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>
        <v>0</v>
      </c>
      <c r="AN13" s="127">
        <v>0</v>
      </c>
      <c r="AO13" s="127">
        <v>0</v>
      </c>
      <c r="AP13" s="127">
        <v>0</v>
      </c>
      <c r="AQ13" s="127">
        <v>0</v>
      </c>
      <c r="AR13" s="127">
        <v>0</v>
      </c>
      <c r="AS13" s="127">
        <v>0</v>
      </c>
      <c r="AT13" s="128">
        <v>0</v>
      </c>
    </row>
    <row r="14" spans="2:46" ht="12" customHeight="1" x14ac:dyDescent="0.25">
      <c r="B14" s="126" t="s">
        <v>33</v>
      </c>
      <c r="C14" s="127" t="s">
        <v>37</v>
      </c>
      <c r="D14" s="127" t="s">
        <v>25</v>
      </c>
      <c r="E14" s="127" t="s">
        <v>25</v>
      </c>
      <c r="F14" s="127" t="s">
        <v>70</v>
      </c>
      <c r="G14" s="127" t="s">
        <v>25</v>
      </c>
      <c r="H14" s="127" t="s">
        <v>66</v>
      </c>
      <c r="I14" s="127" t="s">
        <v>25</v>
      </c>
      <c r="J14" s="127">
        <v>14.79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0</v>
      </c>
      <c r="V14" s="127">
        <v>0</v>
      </c>
      <c r="W14" s="127">
        <v>0</v>
      </c>
      <c r="X14" s="127">
        <v>7.0035682745229897</v>
      </c>
      <c r="Y14" s="127">
        <v>0</v>
      </c>
      <c r="Z14" s="127">
        <v>0</v>
      </c>
      <c r="AA14" s="127">
        <v>8.15697600571721</v>
      </c>
      <c r="AB14" s="127">
        <v>-0.37299543253084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0</v>
      </c>
      <c r="AO14" s="127">
        <v>0</v>
      </c>
      <c r="AP14" s="127">
        <v>0</v>
      </c>
      <c r="AQ14" s="127">
        <v>0</v>
      </c>
      <c r="AR14" s="127">
        <v>0</v>
      </c>
      <c r="AS14" s="127">
        <v>0</v>
      </c>
      <c r="AT14" s="128">
        <v>0</v>
      </c>
    </row>
    <row r="15" spans="2:46" ht="12" customHeight="1" x14ac:dyDescent="0.25">
      <c r="B15" s="126" t="s">
        <v>33</v>
      </c>
      <c r="C15" s="127" t="s">
        <v>37</v>
      </c>
      <c r="D15" s="127" t="s">
        <v>25</v>
      </c>
      <c r="E15" s="127" t="s">
        <v>25</v>
      </c>
      <c r="F15" s="127" t="s">
        <v>70</v>
      </c>
      <c r="G15" s="127" t="s">
        <v>36</v>
      </c>
      <c r="H15" s="127" t="s">
        <v>63</v>
      </c>
      <c r="I15" s="127" t="s">
        <v>25</v>
      </c>
      <c r="J15" s="127">
        <v>6.98</v>
      </c>
      <c r="K15" s="127">
        <v>0</v>
      </c>
      <c r="L15" s="127">
        <v>0</v>
      </c>
      <c r="M15" s="127">
        <v>0.33436141276092501</v>
      </c>
      <c r="N15" s="127">
        <v>0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-0.17712128232447499</v>
      </c>
      <c r="AC15" s="127">
        <v>0</v>
      </c>
      <c r="AD15" s="127">
        <v>0</v>
      </c>
      <c r="AE15" s="127">
        <v>6.8205906438043602</v>
      </c>
      <c r="AF15" s="127">
        <v>0</v>
      </c>
      <c r="AG15" s="127">
        <v>0</v>
      </c>
      <c r="AH15" s="127">
        <v>0</v>
      </c>
      <c r="AI15" s="127">
        <v>0</v>
      </c>
      <c r="AJ15" s="127">
        <v>0</v>
      </c>
      <c r="AK15" s="127">
        <v>0</v>
      </c>
      <c r="AL15" s="127">
        <v>0</v>
      </c>
      <c r="AM15" s="127">
        <v>0</v>
      </c>
      <c r="AN15" s="127">
        <v>0</v>
      </c>
      <c r="AO15" s="127">
        <v>0</v>
      </c>
      <c r="AP15" s="127">
        <v>0</v>
      </c>
      <c r="AQ15" s="127">
        <v>0</v>
      </c>
      <c r="AR15" s="127">
        <v>0</v>
      </c>
      <c r="AS15" s="127">
        <v>0</v>
      </c>
      <c r="AT15" s="128">
        <v>0</v>
      </c>
    </row>
    <row r="16" spans="2:46" ht="12" customHeight="1" x14ac:dyDescent="0.25">
      <c r="B16" s="126" t="s">
        <v>33</v>
      </c>
      <c r="C16" s="127" t="s">
        <v>37</v>
      </c>
      <c r="D16" s="127" t="s">
        <v>25</v>
      </c>
      <c r="E16" s="127" t="s">
        <v>25</v>
      </c>
      <c r="F16" s="127" t="s">
        <v>25</v>
      </c>
      <c r="G16" s="127" t="s">
        <v>35</v>
      </c>
      <c r="H16" s="127" t="s">
        <v>63</v>
      </c>
      <c r="I16" s="127" t="s">
        <v>25</v>
      </c>
      <c r="J16" s="127">
        <v>1077.9000000000001</v>
      </c>
      <c r="K16" s="127">
        <v>239.91</v>
      </c>
      <c r="L16" s="127">
        <v>0</v>
      </c>
      <c r="M16" s="127">
        <v>0.33436141276092501</v>
      </c>
      <c r="N16" s="127">
        <v>0</v>
      </c>
      <c r="O16" s="127">
        <v>0</v>
      </c>
      <c r="P16" s="127">
        <v>0</v>
      </c>
      <c r="Q16" s="127">
        <v>74.551261350594004</v>
      </c>
      <c r="R16" s="127">
        <v>14.030696755938701</v>
      </c>
      <c r="S16" s="127">
        <v>0</v>
      </c>
      <c r="T16" s="127">
        <v>0</v>
      </c>
      <c r="U16" s="127">
        <v>0</v>
      </c>
      <c r="V16" s="127">
        <v>0</v>
      </c>
      <c r="W16" s="127">
        <v>0</v>
      </c>
      <c r="X16" s="127">
        <v>292.77416661889902</v>
      </c>
      <c r="Y16" s="127">
        <v>0</v>
      </c>
      <c r="Z16" s="127">
        <v>0</v>
      </c>
      <c r="AA16" s="127">
        <v>716.76051695043896</v>
      </c>
      <c r="AB16" s="127">
        <v>-27.3723875500887</v>
      </c>
      <c r="AC16" s="127">
        <v>0</v>
      </c>
      <c r="AD16" s="127">
        <v>0</v>
      </c>
      <c r="AE16" s="127">
        <v>6.8205906438043602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>
        <v>0</v>
      </c>
      <c r="AN16" s="127">
        <v>245.99468253937599</v>
      </c>
      <c r="AO16" s="127">
        <v>0</v>
      </c>
      <c r="AP16" s="127">
        <v>0</v>
      </c>
      <c r="AQ16" s="127">
        <v>0</v>
      </c>
      <c r="AR16" s="127">
        <v>-6.0835263833486204</v>
      </c>
      <c r="AS16" s="127">
        <v>0</v>
      </c>
      <c r="AT16" s="128">
        <v>0</v>
      </c>
    </row>
    <row r="17" spans="2:46" ht="12" customHeight="1" x14ac:dyDescent="0.25">
      <c r="B17" s="126" t="s">
        <v>33</v>
      </c>
      <c r="C17" s="127" t="s">
        <v>37</v>
      </c>
      <c r="D17" s="127" t="s">
        <v>25</v>
      </c>
      <c r="E17" s="127" t="s">
        <v>25</v>
      </c>
      <c r="F17" s="127" t="s">
        <v>25</v>
      </c>
      <c r="G17" s="127" t="s">
        <v>25</v>
      </c>
      <c r="H17" s="127" t="s">
        <v>66</v>
      </c>
      <c r="I17" s="127" t="s">
        <v>25</v>
      </c>
      <c r="J17" s="127">
        <v>14.79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7.0035682745229897</v>
      </c>
      <c r="Y17" s="127">
        <v>0</v>
      </c>
      <c r="Z17" s="127">
        <v>0</v>
      </c>
      <c r="AA17" s="127">
        <v>8.15697600571721</v>
      </c>
      <c r="AB17" s="127">
        <v>-0.37299543253084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>
        <v>0</v>
      </c>
      <c r="AN17" s="127">
        <v>0</v>
      </c>
      <c r="AO17" s="127">
        <v>0</v>
      </c>
      <c r="AP17" s="127">
        <v>0</v>
      </c>
      <c r="AQ17" s="127">
        <v>0</v>
      </c>
      <c r="AR17" s="127">
        <v>0</v>
      </c>
      <c r="AS17" s="127">
        <v>0</v>
      </c>
      <c r="AT17" s="128">
        <v>0</v>
      </c>
    </row>
    <row r="18" spans="2:46" ht="12" customHeight="1" x14ac:dyDescent="0.25">
      <c r="B18" s="126" t="s">
        <v>33</v>
      </c>
      <c r="C18" s="127" t="s">
        <v>37</v>
      </c>
      <c r="D18" s="127" t="s">
        <v>25</v>
      </c>
      <c r="E18" s="127" t="s">
        <v>25</v>
      </c>
      <c r="F18" s="127" t="s">
        <v>25</v>
      </c>
      <c r="G18" s="127" t="s">
        <v>36</v>
      </c>
      <c r="H18" s="127" t="s">
        <v>63</v>
      </c>
      <c r="I18" s="127" t="s">
        <v>25</v>
      </c>
      <c r="J18" s="127">
        <v>93.33</v>
      </c>
      <c r="K18" s="127">
        <v>239.91</v>
      </c>
      <c r="L18" s="127">
        <v>0</v>
      </c>
      <c r="M18" s="127">
        <v>0.33436141276092501</v>
      </c>
      <c r="N18" s="127">
        <v>0</v>
      </c>
      <c r="O18" s="127">
        <v>0</v>
      </c>
      <c r="P18" s="127">
        <v>0</v>
      </c>
      <c r="Q18" s="127">
        <v>74.551261350594004</v>
      </c>
      <c r="R18" s="127">
        <v>14.030696755938701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-2.4107379531839999</v>
      </c>
      <c r="AC18" s="127">
        <v>0</v>
      </c>
      <c r="AD18" s="127">
        <v>0</v>
      </c>
      <c r="AE18" s="127">
        <v>6.8205906438043602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>
        <v>0</v>
      </c>
      <c r="AN18" s="127">
        <v>245.99468253937599</v>
      </c>
      <c r="AO18" s="127">
        <v>0</v>
      </c>
      <c r="AP18" s="127">
        <v>0</v>
      </c>
      <c r="AQ18" s="127">
        <v>0</v>
      </c>
      <c r="AR18" s="127">
        <v>-6.0835263833486204</v>
      </c>
      <c r="AS18" s="127">
        <v>0</v>
      </c>
      <c r="AT18" s="128">
        <v>0</v>
      </c>
    </row>
    <row r="19" spans="2:46" ht="12" customHeight="1" x14ac:dyDescent="0.25">
      <c r="B19" s="126" t="s">
        <v>72</v>
      </c>
      <c r="C19" s="127" t="s">
        <v>71</v>
      </c>
      <c r="D19" s="127" t="s">
        <v>25</v>
      </c>
      <c r="E19" s="127" t="s">
        <v>25</v>
      </c>
      <c r="F19" s="127" t="s">
        <v>73</v>
      </c>
      <c r="G19" s="127" t="s">
        <v>25</v>
      </c>
      <c r="H19" s="127" t="s">
        <v>66</v>
      </c>
      <c r="I19" s="127" t="s">
        <v>25</v>
      </c>
      <c r="J19" s="127">
        <v>2.56</v>
      </c>
      <c r="K19" s="127">
        <v>0</v>
      </c>
      <c r="L19" s="127">
        <v>0</v>
      </c>
      <c r="M19" s="127">
        <v>6.6556381435888398E-3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2.61514722664199</v>
      </c>
      <c r="AB19" s="127">
        <v>-6.5371866422141295E-2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>
        <v>0</v>
      </c>
      <c r="AN19" s="127">
        <v>0</v>
      </c>
      <c r="AO19" s="127">
        <v>0</v>
      </c>
      <c r="AP19" s="127">
        <v>0</v>
      </c>
      <c r="AQ19" s="127">
        <v>0</v>
      </c>
      <c r="AR19" s="127">
        <v>0</v>
      </c>
      <c r="AS19" s="127">
        <v>0</v>
      </c>
      <c r="AT19" s="128">
        <v>0</v>
      </c>
    </row>
    <row r="20" spans="2:46" ht="12" customHeight="1" x14ac:dyDescent="0.25">
      <c r="B20" s="126" t="s">
        <v>72</v>
      </c>
      <c r="C20" s="127" t="s">
        <v>71</v>
      </c>
      <c r="D20" s="127" t="s">
        <v>25</v>
      </c>
      <c r="E20" s="127" t="s">
        <v>25</v>
      </c>
      <c r="F20" s="127" t="s">
        <v>74</v>
      </c>
      <c r="G20" s="127" t="s">
        <v>25</v>
      </c>
      <c r="H20" s="127" t="s">
        <v>66</v>
      </c>
      <c r="I20" s="127" t="s">
        <v>25</v>
      </c>
      <c r="J20" s="127">
        <v>7.6</v>
      </c>
      <c r="K20" s="127">
        <v>0</v>
      </c>
      <c r="L20" s="127">
        <v>0</v>
      </c>
      <c r="M20" s="127">
        <v>6.6556381435888398E-3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7.7840053697699298</v>
      </c>
      <c r="AB20" s="127">
        <v>-0.19424756043410399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>
        <v>0</v>
      </c>
      <c r="AN20" s="127">
        <v>0</v>
      </c>
      <c r="AO20" s="127">
        <v>0</v>
      </c>
      <c r="AP20" s="127">
        <v>0</v>
      </c>
      <c r="AQ20" s="127">
        <v>0</v>
      </c>
      <c r="AR20" s="127">
        <v>0</v>
      </c>
      <c r="AS20" s="127">
        <v>0</v>
      </c>
      <c r="AT20" s="128">
        <v>0</v>
      </c>
    </row>
    <row r="21" spans="2:46" ht="12" customHeight="1" x14ac:dyDescent="0.25">
      <c r="B21" s="126" t="s">
        <v>22</v>
      </c>
      <c r="C21" s="127" t="s">
        <v>77</v>
      </c>
      <c r="D21" s="127" t="s">
        <v>24</v>
      </c>
      <c r="E21" s="127" t="s">
        <v>24</v>
      </c>
      <c r="F21" s="127" t="s">
        <v>25</v>
      </c>
      <c r="G21" s="127" t="s">
        <v>35</v>
      </c>
      <c r="H21" s="127" t="s">
        <v>63</v>
      </c>
      <c r="I21" s="127" t="s">
        <v>25</v>
      </c>
      <c r="J21" s="127">
        <v>560.83000000000004</v>
      </c>
      <c r="K21" s="127">
        <v>239.91</v>
      </c>
      <c r="L21" s="127">
        <v>0</v>
      </c>
      <c r="M21" s="127">
        <v>0.592056550790375</v>
      </c>
      <c r="N21" s="127">
        <v>0</v>
      </c>
      <c r="O21" s="127">
        <v>0</v>
      </c>
      <c r="P21" s="127">
        <v>0</v>
      </c>
      <c r="Q21" s="127">
        <v>88.751501607850102</v>
      </c>
      <c r="R21" s="127">
        <v>14.030696755938701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102.29854904659101</v>
      </c>
      <c r="Y21" s="127">
        <v>0</v>
      </c>
      <c r="Z21" s="127">
        <v>0</v>
      </c>
      <c r="AA21" s="127">
        <v>355.83782746426198</v>
      </c>
      <c r="AB21" s="127">
        <v>-14.293012024856999</v>
      </c>
      <c r="AC21" s="127">
        <v>0</v>
      </c>
      <c r="AD21" s="127">
        <v>0</v>
      </c>
      <c r="AE21" s="127">
        <v>13.6142201283144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>
        <v>0</v>
      </c>
      <c r="AN21" s="127">
        <v>245.99468253937599</v>
      </c>
      <c r="AO21" s="127">
        <v>0</v>
      </c>
      <c r="AP21" s="127">
        <v>0</v>
      </c>
      <c r="AQ21" s="127">
        <v>0</v>
      </c>
      <c r="AR21" s="127">
        <v>-6.0835263833486204</v>
      </c>
      <c r="AS21" s="127">
        <v>0</v>
      </c>
      <c r="AT21" s="128">
        <v>0</v>
      </c>
    </row>
    <row r="22" spans="2:46" ht="12" customHeight="1" x14ac:dyDescent="0.25">
      <c r="B22" s="126" t="s">
        <v>22</v>
      </c>
      <c r="C22" s="127" t="s">
        <v>77</v>
      </c>
      <c r="D22" s="127" t="s">
        <v>24</v>
      </c>
      <c r="E22" s="127" t="s">
        <v>24</v>
      </c>
      <c r="F22" s="127" t="s">
        <v>25</v>
      </c>
      <c r="G22" s="127" t="s">
        <v>470</v>
      </c>
      <c r="H22" s="127" t="s">
        <v>63</v>
      </c>
      <c r="I22" s="127" t="s">
        <v>25</v>
      </c>
      <c r="J22" s="127">
        <v>382.13</v>
      </c>
      <c r="K22" s="127">
        <v>239.91</v>
      </c>
      <c r="L22" s="127">
        <v>0</v>
      </c>
      <c r="M22" s="127">
        <v>0.592056550790375</v>
      </c>
      <c r="N22" s="127">
        <v>0</v>
      </c>
      <c r="O22" s="127">
        <v>0</v>
      </c>
      <c r="P22" s="127">
        <v>0</v>
      </c>
      <c r="Q22" s="127">
        <v>88.751501607850102</v>
      </c>
      <c r="R22" s="127">
        <v>14.030696755938701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61.391993124785401</v>
      </c>
      <c r="Y22" s="127">
        <v>0</v>
      </c>
      <c r="Z22" s="127">
        <v>0</v>
      </c>
      <c r="AA22" s="127">
        <v>213.50271886425699</v>
      </c>
      <c r="AB22" s="127">
        <v>-9.7534556603142502</v>
      </c>
      <c r="AC22" s="127">
        <v>0</v>
      </c>
      <c r="AD22" s="127">
        <v>0</v>
      </c>
      <c r="AE22" s="127">
        <v>13.6142201283144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>
        <v>0</v>
      </c>
      <c r="AN22" s="127">
        <v>245.99468253937599</v>
      </c>
      <c r="AO22" s="127">
        <v>0</v>
      </c>
      <c r="AP22" s="127">
        <v>0</v>
      </c>
      <c r="AQ22" s="127">
        <v>0</v>
      </c>
      <c r="AR22" s="127">
        <v>-6.0835263833486204</v>
      </c>
      <c r="AS22" s="127">
        <v>0</v>
      </c>
      <c r="AT22" s="128">
        <v>0</v>
      </c>
    </row>
    <row r="23" spans="2:46" ht="12" customHeight="1" x14ac:dyDescent="0.25">
      <c r="B23" s="126" t="s">
        <v>22</v>
      </c>
      <c r="C23" s="127" t="s">
        <v>77</v>
      </c>
      <c r="D23" s="127" t="s">
        <v>24</v>
      </c>
      <c r="E23" s="127" t="s">
        <v>24</v>
      </c>
      <c r="F23" s="127" t="s">
        <v>25</v>
      </c>
      <c r="G23" s="127" t="s">
        <v>36</v>
      </c>
      <c r="H23" s="127" t="s">
        <v>63</v>
      </c>
      <c r="I23" s="127" t="s">
        <v>25</v>
      </c>
      <c r="J23" s="127">
        <v>203.41</v>
      </c>
      <c r="K23" s="127">
        <v>239.91</v>
      </c>
      <c r="L23" s="127">
        <v>0</v>
      </c>
      <c r="M23" s="127">
        <v>0.592056550790375</v>
      </c>
      <c r="N23" s="127">
        <v>0</v>
      </c>
      <c r="O23" s="127">
        <v>0</v>
      </c>
      <c r="P23" s="127">
        <v>0</v>
      </c>
      <c r="Q23" s="127">
        <v>88.751501607850102</v>
      </c>
      <c r="R23" s="127">
        <v>14.030696755938701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20.469357581941299</v>
      </c>
      <c r="Y23" s="127">
        <v>0</v>
      </c>
      <c r="Z23" s="127">
        <v>0</v>
      </c>
      <c r="AA23" s="127">
        <v>71.167498335752299</v>
      </c>
      <c r="AB23" s="127">
        <v>-5.2135070790052698</v>
      </c>
      <c r="AC23" s="127">
        <v>0</v>
      </c>
      <c r="AD23" s="127">
        <v>0</v>
      </c>
      <c r="AE23" s="127">
        <v>13.6142201283144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>
        <v>0</v>
      </c>
      <c r="AN23" s="127">
        <v>245.99468253937599</v>
      </c>
      <c r="AO23" s="127">
        <v>0</v>
      </c>
      <c r="AP23" s="127">
        <v>0</v>
      </c>
      <c r="AQ23" s="127">
        <v>0</v>
      </c>
      <c r="AR23" s="127">
        <v>-6.0835263833486204</v>
      </c>
      <c r="AS23" s="127">
        <v>0</v>
      </c>
      <c r="AT23" s="128">
        <v>0</v>
      </c>
    </row>
    <row r="24" spans="2:46" ht="12" customHeight="1" x14ac:dyDescent="0.25">
      <c r="B24" s="126" t="s">
        <v>22</v>
      </c>
      <c r="C24" s="127" t="s">
        <v>23</v>
      </c>
      <c r="D24" s="127" t="s">
        <v>24</v>
      </c>
      <c r="E24" s="127" t="s">
        <v>997</v>
      </c>
      <c r="F24" s="127" t="s">
        <v>25</v>
      </c>
      <c r="G24" s="127" t="s">
        <v>25</v>
      </c>
      <c r="H24" s="127" t="s">
        <v>63</v>
      </c>
      <c r="I24" s="127" t="s">
        <v>25</v>
      </c>
      <c r="J24" s="127">
        <v>179.34</v>
      </c>
      <c r="K24" s="127">
        <v>239.91</v>
      </c>
      <c r="L24" s="127">
        <v>0</v>
      </c>
      <c r="M24" s="127">
        <v>0.592056550790375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37.899666787616397</v>
      </c>
      <c r="Y24" s="127">
        <v>0</v>
      </c>
      <c r="Z24" s="127">
        <v>0</v>
      </c>
      <c r="AA24" s="127">
        <v>131.79177965872699</v>
      </c>
      <c r="AB24" s="127">
        <v>-4.5554949732004397</v>
      </c>
      <c r="AC24" s="127">
        <v>0</v>
      </c>
      <c r="AD24" s="127">
        <v>0</v>
      </c>
      <c r="AE24" s="127">
        <v>13.6142201283144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245.99468253937599</v>
      </c>
      <c r="AO24" s="127">
        <v>0</v>
      </c>
      <c r="AP24" s="127">
        <v>0</v>
      </c>
      <c r="AQ24" s="127">
        <v>0</v>
      </c>
      <c r="AR24" s="127">
        <v>-6.0835263833486204</v>
      </c>
      <c r="AS24" s="127">
        <v>0</v>
      </c>
      <c r="AT24" s="128">
        <v>0</v>
      </c>
    </row>
    <row r="25" spans="2:46" ht="12" customHeight="1" x14ac:dyDescent="0.25">
      <c r="B25" s="126" t="s">
        <v>22</v>
      </c>
      <c r="C25" s="127" t="s">
        <v>23</v>
      </c>
      <c r="D25" s="127" t="s">
        <v>24</v>
      </c>
      <c r="E25" s="127" t="s">
        <v>24</v>
      </c>
      <c r="F25" s="127" t="s">
        <v>25</v>
      </c>
      <c r="G25" s="127" t="s">
        <v>25</v>
      </c>
      <c r="H25" s="127" t="s">
        <v>63</v>
      </c>
      <c r="I25" s="127" t="s">
        <v>25</v>
      </c>
      <c r="J25" s="127">
        <v>279.52999999999997</v>
      </c>
      <c r="K25" s="127">
        <v>239.91</v>
      </c>
      <c r="L25" s="127">
        <v>0</v>
      </c>
      <c r="M25" s="127">
        <v>0.592056550790375</v>
      </c>
      <c r="N25" s="127">
        <v>0</v>
      </c>
      <c r="O25" s="127">
        <v>0</v>
      </c>
      <c r="P25" s="127">
        <v>0</v>
      </c>
      <c r="Q25" s="127">
        <v>88.751501607850102</v>
      </c>
      <c r="R25" s="127">
        <v>14.030696755938701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37.899666787616397</v>
      </c>
      <c r="Y25" s="127">
        <v>0</v>
      </c>
      <c r="Z25" s="127">
        <v>0</v>
      </c>
      <c r="AA25" s="127">
        <v>131.79177965872699</v>
      </c>
      <c r="AB25" s="127">
        <v>-7.1471966105497202</v>
      </c>
      <c r="AC25" s="127">
        <v>0</v>
      </c>
      <c r="AD25" s="127">
        <v>0</v>
      </c>
      <c r="AE25" s="127">
        <v>13.6142201283144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>
        <v>0</v>
      </c>
      <c r="AN25" s="127">
        <v>245.99468253937599</v>
      </c>
      <c r="AO25" s="127">
        <v>0</v>
      </c>
      <c r="AP25" s="127">
        <v>0</v>
      </c>
      <c r="AQ25" s="127">
        <v>0</v>
      </c>
      <c r="AR25" s="127">
        <v>-6.0835263833486204</v>
      </c>
      <c r="AS25" s="127">
        <v>0</v>
      </c>
      <c r="AT25" s="128">
        <v>0</v>
      </c>
    </row>
    <row r="26" spans="2:46" ht="12" customHeight="1" x14ac:dyDescent="0.25">
      <c r="B26" s="126" t="s">
        <v>22</v>
      </c>
      <c r="C26" s="127" t="s">
        <v>79</v>
      </c>
      <c r="D26" s="127" t="s">
        <v>24</v>
      </c>
      <c r="E26" s="127" t="s">
        <v>997</v>
      </c>
      <c r="F26" s="127" t="s">
        <v>25</v>
      </c>
      <c r="G26" s="127" t="s">
        <v>25</v>
      </c>
      <c r="H26" s="127" t="s">
        <v>63</v>
      </c>
      <c r="I26" s="127" t="s">
        <v>25</v>
      </c>
      <c r="J26" s="127">
        <v>179.34</v>
      </c>
      <c r="K26" s="127">
        <v>239.91</v>
      </c>
      <c r="L26" s="127">
        <v>0</v>
      </c>
      <c r="M26" s="127">
        <v>0.592056550790375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37.899666787616397</v>
      </c>
      <c r="Y26" s="127">
        <v>0</v>
      </c>
      <c r="Z26" s="127">
        <v>0</v>
      </c>
      <c r="AA26" s="127">
        <v>131.79177965872699</v>
      </c>
      <c r="AB26" s="127">
        <v>-4.5554949732004397</v>
      </c>
      <c r="AC26" s="127">
        <v>0</v>
      </c>
      <c r="AD26" s="127">
        <v>0</v>
      </c>
      <c r="AE26" s="127">
        <v>13.6142201283144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245.99468253937599</v>
      </c>
      <c r="AO26" s="127">
        <v>0</v>
      </c>
      <c r="AP26" s="127">
        <v>0</v>
      </c>
      <c r="AQ26" s="127">
        <v>0</v>
      </c>
      <c r="AR26" s="127">
        <v>-6.0835263833486204</v>
      </c>
      <c r="AS26" s="127">
        <v>0</v>
      </c>
      <c r="AT26" s="128">
        <v>0</v>
      </c>
    </row>
    <row r="27" spans="2:46" ht="12" customHeight="1" x14ac:dyDescent="0.25">
      <c r="B27" s="126" t="s">
        <v>22</v>
      </c>
      <c r="C27" s="127" t="s">
        <v>79</v>
      </c>
      <c r="D27" s="127" t="s">
        <v>24</v>
      </c>
      <c r="E27" s="127" t="s">
        <v>24</v>
      </c>
      <c r="F27" s="127" t="s">
        <v>25</v>
      </c>
      <c r="G27" s="127" t="s">
        <v>25</v>
      </c>
      <c r="H27" s="127" t="s">
        <v>63</v>
      </c>
      <c r="I27" s="127" t="s">
        <v>25</v>
      </c>
      <c r="J27" s="127">
        <v>279.52999999999997</v>
      </c>
      <c r="K27" s="127">
        <v>239.91</v>
      </c>
      <c r="L27" s="127">
        <v>0</v>
      </c>
      <c r="M27" s="127">
        <v>0.592056550790375</v>
      </c>
      <c r="N27" s="127">
        <v>0</v>
      </c>
      <c r="O27" s="127">
        <v>0</v>
      </c>
      <c r="P27" s="127">
        <v>0</v>
      </c>
      <c r="Q27" s="127">
        <v>88.751501607850102</v>
      </c>
      <c r="R27" s="127">
        <v>14.030696755938701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37.899666787616397</v>
      </c>
      <c r="Y27" s="127">
        <v>0</v>
      </c>
      <c r="Z27" s="127">
        <v>0</v>
      </c>
      <c r="AA27" s="127">
        <v>131.79177965872699</v>
      </c>
      <c r="AB27" s="127">
        <v>-7.1471966105497202</v>
      </c>
      <c r="AC27" s="127">
        <v>0</v>
      </c>
      <c r="AD27" s="127">
        <v>0</v>
      </c>
      <c r="AE27" s="127">
        <v>13.6142201283144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>
        <v>0</v>
      </c>
      <c r="AN27" s="127">
        <v>245.99468253937599</v>
      </c>
      <c r="AO27" s="127">
        <v>0</v>
      </c>
      <c r="AP27" s="127">
        <v>0</v>
      </c>
      <c r="AQ27" s="127">
        <v>0</v>
      </c>
      <c r="AR27" s="127">
        <v>-6.0835263833486204</v>
      </c>
      <c r="AS27" s="127">
        <v>0</v>
      </c>
      <c r="AT27" s="128">
        <v>0</v>
      </c>
    </row>
    <row r="28" spans="2:46" ht="12" customHeight="1" x14ac:dyDescent="0.25">
      <c r="B28" s="126" t="s">
        <v>39</v>
      </c>
      <c r="C28" s="127" t="s">
        <v>77</v>
      </c>
      <c r="D28" s="127" t="s">
        <v>40</v>
      </c>
      <c r="E28" s="127" t="s">
        <v>80</v>
      </c>
      <c r="F28" s="127" t="s">
        <v>25</v>
      </c>
      <c r="G28" s="127" t="s">
        <v>35</v>
      </c>
      <c r="H28" s="127" t="s">
        <v>63</v>
      </c>
      <c r="I28" s="127" t="s">
        <v>25</v>
      </c>
      <c r="J28" s="127">
        <v>566.08000000000004</v>
      </c>
      <c r="K28" s="127">
        <v>225.52</v>
      </c>
      <c r="L28" s="127">
        <v>0</v>
      </c>
      <c r="M28" s="127">
        <v>0.55653315774295198</v>
      </c>
      <c r="N28" s="127">
        <v>0</v>
      </c>
      <c r="O28" s="127">
        <v>0</v>
      </c>
      <c r="P28" s="127">
        <v>0</v>
      </c>
      <c r="Q28" s="127">
        <v>83.426411511379101</v>
      </c>
      <c r="R28" s="127">
        <v>13.1888549505823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105.078393931718</v>
      </c>
      <c r="Y28" s="127">
        <v>0</v>
      </c>
      <c r="Z28" s="127">
        <v>0</v>
      </c>
      <c r="AA28" s="127">
        <v>365.45862603620702</v>
      </c>
      <c r="AB28" s="127">
        <v>-14.4236119486806</v>
      </c>
      <c r="AC28" s="127">
        <v>0</v>
      </c>
      <c r="AD28" s="127">
        <v>0</v>
      </c>
      <c r="AE28" s="127">
        <v>12.797366920615501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231.23500158701401</v>
      </c>
      <c r="AO28" s="127">
        <v>0</v>
      </c>
      <c r="AP28" s="127">
        <v>0</v>
      </c>
      <c r="AQ28" s="127">
        <v>0</v>
      </c>
      <c r="AR28" s="127">
        <v>-5.7185148003477</v>
      </c>
      <c r="AS28" s="127">
        <v>0</v>
      </c>
      <c r="AT28" s="128">
        <v>0</v>
      </c>
    </row>
    <row r="29" spans="2:46" ht="12" customHeight="1" x14ac:dyDescent="0.25">
      <c r="B29" s="126" t="s">
        <v>39</v>
      </c>
      <c r="C29" s="127" t="s">
        <v>77</v>
      </c>
      <c r="D29" s="127" t="s">
        <v>40</v>
      </c>
      <c r="E29" s="127" t="s">
        <v>80</v>
      </c>
      <c r="F29" s="127" t="s">
        <v>25</v>
      </c>
      <c r="G29" s="127" t="s">
        <v>470</v>
      </c>
      <c r="H29" s="127" t="s">
        <v>63</v>
      </c>
      <c r="I29" s="127" t="s">
        <v>25</v>
      </c>
      <c r="J29" s="127">
        <v>382.51</v>
      </c>
      <c r="K29" s="127">
        <v>225.52</v>
      </c>
      <c r="L29" s="127">
        <v>0</v>
      </c>
      <c r="M29" s="127">
        <v>0.55653315774295198</v>
      </c>
      <c r="N29" s="127">
        <v>0</v>
      </c>
      <c r="O29" s="127">
        <v>0</v>
      </c>
      <c r="P29" s="127">
        <v>0</v>
      </c>
      <c r="Q29" s="127">
        <v>83.426411511379101</v>
      </c>
      <c r="R29" s="127">
        <v>13.1888549505823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63.0288985464992</v>
      </c>
      <c r="Y29" s="127">
        <v>0</v>
      </c>
      <c r="Z29" s="127">
        <v>0</v>
      </c>
      <c r="AA29" s="127">
        <v>219.275238749398</v>
      </c>
      <c r="AB29" s="127">
        <v>-9.7604256362400807</v>
      </c>
      <c r="AC29" s="127">
        <v>0</v>
      </c>
      <c r="AD29" s="127">
        <v>0</v>
      </c>
      <c r="AE29" s="127">
        <v>12.797366920615501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231.23500158701401</v>
      </c>
      <c r="AO29" s="127">
        <v>0</v>
      </c>
      <c r="AP29" s="127">
        <v>0</v>
      </c>
      <c r="AQ29" s="127">
        <v>0</v>
      </c>
      <c r="AR29" s="127">
        <v>-5.7185148003477</v>
      </c>
      <c r="AS29" s="127">
        <v>0</v>
      </c>
      <c r="AT29" s="128">
        <v>0</v>
      </c>
    </row>
    <row r="30" spans="2:46" ht="12" customHeight="1" x14ac:dyDescent="0.25">
      <c r="B30" s="126" t="s">
        <v>39</v>
      </c>
      <c r="C30" s="127" t="s">
        <v>77</v>
      </c>
      <c r="D30" s="127" t="s">
        <v>40</v>
      </c>
      <c r="E30" s="127" t="s">
        <v>80</v>
      </c>
      <c r="F30" s="127" t="s">
        <v>25</v>
      </c>
      <c r="G30" s="127" t="s">
        <v>36</v>
      </c>
      <c r="H30" s="127" t="s">
        <v>63</v>
      </c>
      <c r="I30" s="127" t="s">
        <v>25</v>
      </c>
      <c r="J30" s="127">
        <v>198.99</v>
      </c>
      <c r="K30" s="127">
        <v>225.52</v>
      </c>
      <c r="L30" s="127">
        <v>0</v>
      </c>
      <c r="M30" s="127">
        <v>0.55653315774295198</v>
      </c>
      <c r="N30" s="127">
        <v>0</v>
      </c>
      <c r="O30" s="127">
        <v>0</v>
      </c>
      <c r="P30" s="127">
        <v>0</v>
      </c>
      <c r="Q30" s="127">
        <v>83.426411511379101</v>
      </c>
      <c r="R30" s="127">
        <v>13.1888549505823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21.0247476926092</v>
      </c>
      <c r="Y30" s="127">
        <v>0</v>
      </c>
      <c r="Z30" s="127">
        <v>0</v>
      </c>
      <c r="AA30" s="127">
        <v>73.091746249799499</v>
      </c>
      <c r="AB30" s="127">
        <v>-5.09833488195338</v>
      </c>
      <c r="AC30" s="127">
        <v>0</v>
      </c>
      <c r="AD30" s="127">
        <v>0</v>
      </c>
      <c r="AE30" s="127">
        <v>12.797366920615501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>
        <v>0</v>
      </c>
      <c r="AN30" s="127">
        <v>231.23500158701401</v>
      </c>
      <c r="AO30" s="127">
        <v>0</v>
      </c>
      <c r="AP30" s="127">
        <v>0</v>
      </c>
      <c r="AQ30" s="127">
        <v>0</v>
      </c>
      <c r="AR30" s="127">
        <v>-5.7185148003477</v>
      </c>
      <c r="AS30" s="127">
        <v>0</v>
      </c>
      <c r="AT30" s="128">
        <v>0</v>
      </c>
    </row>
    <row r="31" spans="2:46" ht="12" customHeight="1" x14ac:dyDescent="0.25">
      <c r="B31" s="126" t="s">
        <v>39</v>
      </c>
      <c r="C31" s="127" t="s">
        <v>77</v>
      </c>
      <c r="D31" s="127" t="s">
        <v>40</v>
      </c>
      <c r="E31" s="127" t="s">
        <v>25</v>
      </c>
      <c r="F31" s="127" t="s">
        <v>25</v>
      </c>
      <c r="G31" s="127" t="s">
        <v>35</v>
      </c>
      <c r="H31" s="127" t="s">
        <v>63</v>
      </c>
      <c r="I31" s="127" t="s">
        <v>25</v>
      </c>
      <c r="J31" s="127">
        <v>566.08000000000004</v>
      </c>
      <c r="K31" s="127">
        <v>225.52</v>
      </c>
      <c r="L31" s="127">
        <v>0</v>
      </c>
      <c r="M31" s="127">
        <v>0.55653315774295198</v>
      </c>
      <c r="N31" s="127">
        <v>0</v>
      </c>
      <c r="O31" s="127">
        <v>0</v>
      </c>
      <c r="P31" s="127">
        <v>0</v>
      </c>
      <c r="Q31" s="127">
        <v>83.426411511379101</v>
      </c>
      <c r="R31" s="127">
        <v>13.1888549505823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105.078393931718</v>
      </c>
      <c r="Y31" s="127">
        <v>0</v>
      </c>
      <c r="Z31" s="127">
        <v>0</v>
      </c>
      <c r="AA31" s="127">
        <v>365.45862603620702</v>
      </c>
      <c r="AB31" s="127">
        <v>-14.4236119486806</v>
      </c>
      <c r="AC31" s="127">
        <v>0</v>
      </c>
      <c r="AD31" s="127">
        <v>0</v>
      </c>
      <c r="AE31" s="127">
        <v>12.797366920615501</v>
      </c>
      <c r="AF31" s="127">
        <v>0</v>
      </c>
      <c r="AG31" s="127">
        <v>0</v>
      </c>
      <c r="AH31" s="127">
        <v>0</v>
      </c>
      <c r="AI31" s="127">
        <v>0</v>
      </c>
      <c r="AJ31" s="127">
        <v>0</v>
      </c>
      <c r="AK31" s="127">
        <v>0</v>
      </c>
      <c r="AL31" s="127">
        <v>0</v>
      </c>
      <c r="AM31" s="127">
        <v>0</v>
      </c>
      <c r="AN31" s="127">
        <v>231.23500158701401</v>
      </c>
      <c r="AO31" s="127">
        <v>0</v>
      </c>
      <c r="AP31" s="127">
        <v>0</v>
      </c>
      <c r="AQ31" s="127">
        <v>0</v>
      </c>
      <c r="AR31" s="127">
        <v>-5.7185148003477</v>
      </c>
      <c r="AS31" s="127">
        <v>0</v>
      </c>
      <c r="AT31" s="128">
        <v>0</v>
      </c>
    </row>
    <row r="32" spans="2:46" ht="12" customHeight="1" x14ac:dyDescent="0.25">
      <c r="B32" s="126" t="s">
        <v>39</v>
      </c>
      <c r="C32" s="127" t="s">
        <v>77</v>
      </c>
      <c r="D32" s="127" t="s">
        <v>40</v>
      </c>
      <c r="E32" s="127" t="s">
        <v>25</v>
      </c>
      <c r="F32" s="127" t="s">
        <v>25</v>
      </c>
      <c r="G32" s="127" t="s">
        <v>470</v>
      </c>
      <c r="H32" s="127" t="s">
        <v>63</v>
      </c>
      <c r="I32" s="127" t="s">
        <v>25</v>
      </c>
      <c r="J32" s="127">
        <v>382.51</v>
      </c>
      <c r="K32" s="127">
        <v>225.52</v>
      </c>
      <c r="L32" s="127">
        <v>0</v>
      </c>
      <c r="M32" s="127">
        <v>0.55653315774295198</v>
      </c>
      <c r="N32" s="127">
        <v>0</v>
      </c>
      <c r="O32" s="127">
        <v>0</v>
      </c>
      <c r="P32" s="127">
        <v>0</v>
      </c>
      <c r="Q32" s="127">
        <v>83.426411511379101</v>
      </c>
      <c r="R32" s="127">
        <v>13.1888549505823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63.0288985464992</v>
      </c>
      <c r="Y32" s="127">
        <v>0</v>
      </c>
      <c r="Z32" s="127">
        <v>0</v>
      </c>
      <c r="AA32" s="127">
        <v>219.275238749398</v>
      </c>
      <c r="AB32" s="127">
        <v>-9.7604256362400807</v>
      </c>
      <c r="AC32" s="127">
        <v>0</v>
      </c>
      <c r="AD32" s="127">
        <v>0</v>
      </c>
      <c r="AE32" s="127">
        <v>12.797366920615501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231.23500158701401</v>
      </c>
      <c r="AO32" s="127">
        <v>0</v>
      </c>
      <c r="AP32" s="127">
        <v>0</v>
      </c>
      <c r="AQ32" s="127">
        <v>0</v>
      </c>
      <c r="AR32" s="127">
        <v>-5.7185148003477</v>
      </c>
      <c r="AS32" s="127">
        <v>0</v>
      </c>
      <c r="AT32" s="128">
        <v>0</v>
      </c>
    </row>
    <row r="33" spans="2:46" ht="12" customHeight="1" x14ac:dyDescent="0.25">
      <c r="B33" s="126" t="s">
        <v>39</v>
      </c>
      <c r="C33" s="127" t="s">
        <v>77</v>
      </c>
      <c r="D33" s="127" t="s">
        <v>40</v>
      </c>
      <c r="E33" s="127" t="s">
        <v>25</v>
      </c>
      <c r="F33" s="127" t="s">
        <v>25</v>
      </c>
      <c r="G33" s="127" t="s">
        <v>36</v>
      </c>
      <c r="H33" s="127" t="s">
        <v>63</v>
      </c>
      <c r="I33" s="127" t="s">
        <v>25</v>
      </c>
      <c r="J33" s="127">
        <v>198.99</v>
      </c>
      <c r="K33" s="127">
        <v>225.52</v>
      </c>
      <c r="L33" s="127">
        <v>0</v>
      </c>
      <c r="M33" s="127">
        <v>0.55653315774295198</v>
      </c>
      <c r="N33" s="127">
        <v>0</v>
      </c>
      <c r="O33" s="127">
        <v>0</v>
      </c>
      <c r="P33" s="127">
        <v>0</v>
      </c>
      <c r="Q33" s="127">
        <v>83.426411511379101</v>
      </c>
      <c r="R33" s="127">
        <v>13.1888549505823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21.0247476926092</v>
      </c>
      <c r="Y33" s="127">
        <v>0</v>
      </c>
      <c r="Z33" s="127">
        <v>0</v>
      </c>
      <c r="AA33" s="127">
        <v>73.091746249799499</v>
      </c>
      <c r="AB33" s="127">
        <v>-5.09833488195338</v>
      </c>
      <c r="AC33" s="127">
        <v>0</v>
      </c>
      <c r="AD33" s="127">
        <v>0</v>
      </c>
      <c r="AE33" s="127">
        <v>12.797366920615501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>
        <v>0</v>
      </c>
      <c r="AN33" s="127">
        <v>231.23500158701401</v>
      </c>
      <c r="AO33" s="127">
        <v>0</v>
      </c>
      <c r="AP33" s="127">
        <v>0</v>
      </c>
      <c r="AQ33" s="127">
        <v>0</v>
      </c>
      <c r="AR33" s="127">
        <v>-5.7185148003477</v>
      </c>
      <c r="AS33" s="127">
        <v>0</v>
      </c>
      <c r="AT33" s="128">
        <v>0</v>
      </c>
    </row>
    <row r="34" spans="2:46" ht="12" customHeight="1" x14ac:dyDescent="0.25">
      <c r="B34" s="126" t="s">
        <v>39</v>
      </c>
      <c r="C34" s="127" t="s">
        <v>77</v>
      </c>
      <c r="D34" s="127" t="s">
        <v>40</v>
      </c>
      <c r="E34" s="127" t="s">
        <v>81</v>
      </c>
      <c r="F34" s="127" t="s">
        <v>25</v>
      </c>
      <c r="G34" s="127" t="s">
        <v>35</v>
      </c>
      <c r="H34" s="127" t="s">
        <v>63</v>
      </c>
      <c r="I34" s="127" t="s">
        <v>25</v>
      </c>
      <c r="J34" s="127">
        <v>554.04</v>
      </c>
      <c r="K34" s="127">
        <v>220.72</v>
      </c>
      <c r="L34" s="127">
        <v>0</v>
      </c>
      <c r="M34" s="127">
        <v>0.54469202672714501</v>
      </c>
      <c r="N34" s="127">
        <v>0</v>
      </c>
      <c r="O34" s="127">
        <v>0</v>
      </c>
      <c r="P34" s="127">
        <v>0</v>
      </c>
      <c r="Q34" s="127">
        <v>81.651381479222096</v>
      </c>
      <c r="R34" s="127">
        <v>12.9082410154636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102.84268342253201</v>
      </c>
      <c r="Y34" s="127">
        <v>0</v>
      </c>
      <c r="Z34" s="127">
        <v>0</v>
      </c>
      <c r="AA34" s="127">
        <v>357.68291058862798</v>
      </c>
      <c r="AB34" s="127">
        <v>-14.1167265880703</v>
      </c>
      <c r="AC34" s="127">
        <v>0</v>
      </c>
      <c r="AD34" s="127">
        <v>0</v>
      </c>
      <c r="AE34" s="127">
        <v>12.525082518049199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>
        <v>0</v>
      </c>
      <c r="AN34" s="127">
        <v>226.31510793622601</v>
      </c>
      <c r="AO34" s="127">
        <v>0</v>
      </c>
      <c r="AP34" s="127">
        <v>0</v>
      </c>
      <c r="AQ34" s="127">
        <v>0</v>
      </c>
      <c r="AR34" s="127">
        <v>-5.5968442726807304</v>
      </c>
      <c r="AS34" s="127">
        <v>0</v>
      </c>
      <c r="AT34" s="128">
        <v>0</v>
      </c>
    </row>
    <row r="35" spans="2:46" ht="12" customHeight="1" x14ac:dyDescent="0.25">
      <c r="B35" s="126" t="s">
        <v>39</v>
      </c>
      <c r="C35" s="127" t="s">
        <v>77</v>
      </c>
      <c r="D35" s="127" t="s">
        <v>40</v>
      </c>
      <c r="E35" s="127" t="s">
        <v>81</v>
      </c>
      <c r="F35" s="127" t="s">
        <v>25</v>
      </c>
      <c r="G35" s="127" t="s">
        <v>470</v>
      </c>
      <c r="H35" s="127" t="s">
        <v>63</v>
      </c>
      <c r="I35" s="127" t="s">
        <v>25</v>
      </c>
      <c r="J35" s="127">
        <v>374.37</v>
      </c>
      <c r="K35" s="127">
        <v>220.72</v>
      </c>
      <c r="L35" s="127">
        <v>0</v>
      </c>
      <c r="M35" s="127">
        <v>0.54469202672714501</v>
      </c>
      <c r="N35" s="127">
        <v>0</v>
      </c>
      <c r="O35" s="127">
        <v>0</v>
      </c>
      <c r="P35" s="127">
        <v>0</v>
      </c>
      <c r="Q35" s="127">
        <v>81.651381479222096</v>
      </c>
      <c r="R35" s="127">
        <v>12.9082410154636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61.687858151892797</v>
      </c>
      <c r="Y35" s="127">
        <v>0</v>
      </c>
      <c r="Z35" s="127">
        <v>0</v>
      </c>
      <c r="AA35" s="127">
        <v>214.609808137709</v>
      </c>
      <c r="AB35" s="127">
        <v>-9.5527570056817801</v>
      </c>
      <c r="AC35" s="127">
        <v>0</v>
      </c>
      <c r="AD35" s="127">
        <v>0</v>
      </c>
      <c r="AE35" s="127">
        <v>12.525082518049199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226.31510793622601</v>
      </c>
      <c r="AO35" s="127">
        <v>0</v>
      </c>
      <c r="AP35" s="127">
        <v>0</v>
      </c>
      <c r="AQ35" s="127">
        <v>0</v>
      </c>
      <c r="AR35" s="127">
        <v>-5.5968442726807304</v>
      </c>
      <c r="AS35" s="127">
        <v>0</v>
      </c>
      <c r="AT35" s="128">
        <v>0</v>
      </c>
    </row>
    <row r="36" spans="2:46" ht="12" customHeight="1" x14ac:dyDescent="0.25">
      <c r="B36" s="126" t="s">
        <v>39</v>
      </c>
      <c r="C36" s="127" t="s">
        <v>77</v>
      </c>
      <c r="D36" s="127" t="s">
        <v>40</v>
      </c>
      <c r="E36" s="127" t="s">
        <v>81</v>
      </c>
      <c r="F36" s="127" t="s">
        <v>25</v>
      </c>
      <c r="G36" s="127" t="s">
        <v>36</v>
      </c>
      <c r="H36" s="127" t="s">
        <v>63</v>
      </c>
      <c r="I36" s="127" t="s">
        <v>25</v>
      </c>
      <c r="J36" s="127">
        <v>194.75</v>
      </c>
      <c r="K36" s="127">
        <v>220.72</v>
      </c>
      <c r="L36" s="127">
        <v>0</v>
      </c>
      <c r="M36" s="127">
        <v>0.54469202672714501</v>
      </c>
      <c r="N36" s="127">
        <v>0</v>
      </c>
      <c r="O36" s="127">
        <v>0</v>
      </c>
      <c r="P36" s="127">
        <v>0</v>
      </c>
      <c r="Q36" s="127">
        <v>81.651381479222096</v>
      </c>
      <c r="R36" s="127">
        <v>12.9082410154636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20.5774126353197</v>
      </c>
      <c r="Y36" s="127">
        <v>0</v>
      </c>
      <c r="Z36" s="127">
        <v>0</v>
      </c>
      <c r="AA36" s="127">
        <v>71.536602712569703</v>
      </c>
      <c r="AB36" s="127">
        <v>-4.9898596716990502</v>
      </c>
      <c r="AC36" s="127">
        <v>0</v>
      </c>
      <c r="AD36" s="127">
        <v>0</v>
      </c>
      <c r="AE36" s="127">
        <v>12.525082518049199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>
        <v>0</v>
      </c>
      <c r="AN36" s="127">
        <v>226.31510793622601</v>
      </c>
      <c r="AO36" s="127">
        <v>0</v>
      </c>
      <c r="AP36" s="127">
        <v>0</v>
      </c>
      <c r="AQ36" s="127">
        <v>0</v>
      </c>
      <c r="AR36" s="127">
        <v>-5.5968442726807304</v>
      </c>
      <c r="AS36" s="127">
        <v>0</v>
      </c>
      <c r="AT36" s="128">
        <v>0</v>
      </c>
    </row>
    <row r="37" spans="2:46" ht="12" customHeight="1" x14ac:dyDescent="0.25">
      <c r="B37" s="126" t="s">
        <v>39</v>
      </c>
      <c r="C37" s="127" t="s">
        <v>23</v>
      </c>
      <c r="D37" s="127" t="s">
        <v>40</v>
      </c>
      <c r="E37" s="127" t="s">
        <v>80</v>
      </c>
      <c r="F37" s="127" t="s">
        <v>25</v>
      </c>
      <c r="G37" s="127" t="s">
        <v>25</v>
      </c>
      <c r="H37" s="127" t="s">
        <v>63</v>
      </c>
      <c r="I37" s="127" t="s">
        <v>25</v>
      </c>
      <c r="J37" s="127">
        <v>262.76</v>
      </c>
      <c r="K37" s="127">
        <v>225.52</v>
      </c>
      <c r="L37" s="127">
        <v>0</v>
      </c>
      <c r="M37" s="127">
        <v>0.55653315774295198</v>
      </c>
      <c r="N37" s="127">
        <v>0</v>
      </c>
      <c r="O37" s="127">
        <v>0</v>
      </c>
      <c r="P37" s="127">
        <v>0</v>
      </c>
      <c r="Q37" s="127">
        <v>83.426411511379101</v>
      </c>
      <c r="R37" s="127">
        <v>13.1888549505823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35.625686780359402</v>
      </c>
      <c r="Y37" s="127">
        <v>0</v>
      </c>
      <c r="Z37" s="127">
        <v>0</v>
      </c>
      <c r="AA37" s="127">
        <v>123.884272879203</v>
      </c>
      <c r="AB37" s="127">
        <v>-6.7183648139167396</v>
      </c>
      <c r="AC37" s="127">
        <v>0</v>
      </c>
      <c r="AD37" s="127">
        <v>0</v>
      </c>
      <c r="AE37" s="127">
        <v>12.797366920615501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231.23500158701401</v>
      </c>
      <c r="AO37" s="127">
        <v>0</v>
      </c>
      <c r="AP37" s="127">
        <v>0</v>
      </c>
      <c r="AQ37" s="127">
        <v>0</v>
      </c>
      <c r="AR37" s="127">
        <v>-5.7185148003477</v>
      </c>
      <c r="AS37" s="127">
        <v>0</v>
      </c>
      <c r="AT37" s="128">
        <v>0</v>
      </c>
    </row>
    <row r="38" spans="2:46" ht="12" customHeight="1" x14ac:dyDescent="0.25">
      <c r="B38" s="126" t="s">
        <v>39</v>
      </c>
      <c r="C38" s="127" t="s">
        <v>23</v>
      </c>
      <c r="D38" s="127" t="s">
        <v>40</v>
      </c>
      <c r="E38" s="127" t="s">
        <v>25</v>
      </c>
      <c r="F38" s="127" t="s">
        <v>25</v>
      </c>
      <c r="G38" s="127" t="s">
        <v>25</v>
      </c>
      <c r="H38" s="127" t="s">
        <v>63</v>
      </c>
      <c r="I38" s="127" t="s">
        <v>25</v>
      </c>
      <c r="J38" s="127">
        <v>262.76</v>
      </c>
      <c r="K38" s="127">
        <v>225.52</v>
      </c>
      <c r="L38" s="127">
        <v>0</v>
      </c>
      <c r="M38" s="127">
        <v>0.55653315774295198</v>
      </c>
      <c r="N38" s="127">
        <v>0</v>
      </c>
      <c r="O38" s="127">
        <v>0</v>
      </c>
      <c r="P38" s="127">
        <v>0</v>
      </c>
      <c r="Q38" s="127">
        <v>83.426411511379101</v>
      </c>
      <c r="R38" s="127">
        <v>13.1888549505823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35.625686780359402</v>
      </c>
      <c r="Y38" s="127">
        <v>0</v>
      </c>
      <c r="Z38" s="127">
        <v>0</v>
      </c>
      <c r="AA38" s="127">
        <v>123.884272879203</v>
      </c>
      <c r="AB38" s="127">
        <v>-6.7183648139167396</v>
      </c>
      <c r="AC38" s="127">
        <v>0</v>
      </c>
      <c r="AD38" s="127">
        <v>0</v>
      </c>
      <c r="AE38" s="127">
        <v>12.797366920615501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>
        <v>0</v>
      </c>
      <c r="AN38" s="127">
        <v>231.23500158701401</v>
      </c>
      <c r="AO38" s="127">
        <v>0</v>
      </c>
      <c r="AP38" s="127">
        <v>0</v>
      </c>
      <c r="AQ38" s="127">
        <v>0</v>
      </c>
      <c r="AR38" s="127">
        <v>-5.7185148003477</v>
      </c>
      <c r="AS38" s="127">
        <v>0</v>
      </c>
      <c r="AT38" s="128">
        <v>0</v>
      </c>
    </row>
    <row r="39" spans="2:46" ht="12" customHeight="1" x14ac:dyDescent="0.25">
      <c r="B39" s="126" t="s">
        <v>39</v>
      </c>
      <c r="C39" s="127" t="s">
        <v>23</v>
      </c>
      <c r="D39" s="127" t="s">
        <v>40</v>
      </c>
      <c r="E39" s="127" t="s">
        <v>81</v>
      </c>
      <c r="F39" s="127" t="s">
        <v>25</v>
      </c>
      <c r="G39" s="127" t="s">
        <v>25</v>
      </c>
      <c r="H39" s="127" t="s">
        <v>63</v>
      </c>
      <c r="I39" s="127" t="s">
        <v>25</v>
      </c>
      <c r="J39" s="127">
        <v>257.17</v>
      </c>
      <c r="K39" s="127">
        <v>220.72</v>
      </c>
      <c r="L39" s="127">
        <v>0</v>
      </c>
      <c r="M39" s="127">
        <v>0.54469202672714501</v>
      </c>
      <c r="N39" s="127">
        <v>0</v>
      </c>
      <c r="O39" s="127">
        <v>0</v>
      </c>
      <c r="P39" s="127">
        <v>0</v>
      </c>
      <c r="Q39" s="127">
        <v>81.651381479222096</v>
      </c>
      <c r="R39" s="127">
        <v>12.9082410154636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34.867693444607099</v>
      </c>
      <c r="Y39" s="127">
        <v>0</v>
      </c>
      <c r="Z39" s="127">
        <v>0</v>
      </c>
      <c r="AA39" s="127">
        <v>121.248437286029</v>
      </c>
      <c r="AB39" s="127">
        <v>-6.5754208817057496</v>
      </c>
      <c r="AC39" s="127">
        <v>0</v>
      </c>
      <c r="AD39" s="127">
        <v>0</v>
      </c>
      <c r="AE39" s="127">
        <v>12.525082518049199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226.31510793622601</v>
      </c>
      <c r="AO39" s="127">
        <v>0</v>
      </c>
      <c r="AP39" s="127">
        <v>0</v>
      </c>
      <c r="AQ39" s="127">
        <v>0</v>
      </c>
      <c r="AR39" s="127">
        <v>-5.5968442726807304</v>
      </c>
      <c r="AS39" s="127">
        <v>0</v>
      </c>
      <c r="AT39" s="128">
        <v>0</v>
      </c>
    </row>
    <row r="40" spans="2:46" ht="12" customHeight="1" x14ac:dyDescent="0.25">
      <c r="B40" s="126" t="s">
        <v>39</v>
      </c>
      <c r="C40" s="127" t="s">
        <v>79</v>
      </c>
      <c r="D40" s="127" t="s">
        <v>40</v>
      </c>
      <c r="E40" s="127" t="s">
        <v>80</v>
      </c>
      <c r="F40" s="127" t="s">
        <v>25</v>
      </c>
      <c r="G40" s="127" t="s">
        <v>25</v>
      </c>
      <c r="H40" s="127" t="s">
        <v>63</v>
      </c>
      <c r="I40" s="127" t="s">
        <v>25</v>
      </c>
      <c r="J40" s="127">
        <v>262.76</v>
      </c>
      <c r="K40" s="127">
        <v>225.52</v>
      </c>
      <c r="L40" s="127">
        <v>0</v>
      </c>
      <c r="M40" s="127">
        <v>0.55653315774295198</v>
      </c>
      <c r="N40" s="127">
        <v>0</v>
      </c>
      <c r="O40" s="127">
        <v>0</v>
      </c>
      <c r="P40" s="127">
        <v>0</v>
      </c>
      <c r="Q40" s="127">
        <v>83.426411511379101</v>
      </c>
      <c r="R40" s="127">
        <v>13.1888549505823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35.625686780359402</v>
      </c>
      <c r="Y40" s="127">
        <v>0</v>
      </c>
      <c r="Z40" s="127">
        <v>0</v>
      </c>
      <c r="AA40" s="127">
        <v>123.884272879203</v>
      </c>
      <c r="AB40" s="127">
        <v>-6.7183648139167396</v>
      </c>
      <c r="AC40" s="127">
        <v>0</v>
      </c>
      <c r="AD40" s="127">
        <v>0</v>
      </c>
      <c r="AE40" s="127">
        <v>12.797366920615501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231.23500158701401</v>
      </c>
      <c r="AO40" s="127">
        <v>0</v>
      </c>
      <c r="AP40" s="127">
        <v>0</v>
      </c>
      <c r="AQ40" s="127">
        <v>0</v>
      </c>
      <c r="AR40" s="127">
        <v>-5.7185148003477</v>
      </c>
      <c r="AS40" s="127">
        <v>0</v>
      </c>
      <c r="AT40" s="128">
        <v>0</v>
      </c>
    </row>
    <row r="41" spans="2:46" ht="12" customHeight="1" x14ac:dyDescent="0.25">
      <c r="B41" s="126" t="s">
        <v>39</v>
      </c>
      <c r="C41" s="127" t="s">
        <v>79</v>
      </c>
      <c r="D41" s="127" t="s">
        <v>40</v>
      </c>
      <c r="E41" s="127" t="s">
        <v>25</v>
      </c>
      <c r="F41" s="127" t="s">
        <v>25</v>
      </c>
      <c r="G41" s="127" t="s">
        <v>25</v>
      </c>
      <c r="H41" s="127" t="s">
        <v>63</v>
      </c>
      <c r="I41" s="127" t="s">
        <v>25</v>
      </c>
      <c r="J41" s="127">
        <v>262.76</v>
      </c>
      <c r="K41" s="127">
        <v>225.52</v>
      </c>
      <c r="L41" s="127">
        <v>0</v>
      </c>
      <c r="M41" s="127">
        <v>0.55653315774295198</v>
      </c>
      <c r="N41" s="127">
        <v>0</v>
      </c>
      <c r="O41" s="127">
        <v>0</v>
      </c>
      <c r="P41" s="127">
        <v>0</v>
      </c>
      <c r="Q41" s="127">
        <v>83.426411511379101</v>
      </c>
      <c r="R41" s="127">
        <v>13.1888549505823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35.625686780359402</v>
      </c>
      <c r="Y41" s="127">
        <v>0</v>
      </c>
      <c r="Z41" s="127">
        <v>0</v>
      </c>
      <c r="AA41" s="127">
        <v>123.884272879203</v>
      </c>
      <c r="AB41" s="127">
        <v>-6.7183648139167396</v>
      </c>
      <c r="AC41" s="127">
        <v>0</v>
      </c>
      <c r="AD41" s="127">
        <v>0</v>
      </c>
      <c r="AE41" s="127">
        <v>12.797366920615501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231.23500158701401</v>
      </c>
      <c r="AO41" s="127">
        <v>0</v>
      </c>
      <c r="AP41" s="127">
        <v>0</v>
      </c>
      <c r="AQ41" s="127">
        <v>0</v>
      </c>
      <c r="AR41" s="127">
        <v>-5.7185148003477</v>
      </c>
      <c r="AS41" s="127">
        <v>0</v>
      </c>
      <c r="AT41" s="128">
        <v>0</v>
      </c>
    </row>
    <row r="42" spans="2:46" ht="12" customHeight="1" x14ac:dyDescent="0.25">
      <c r="B42" s="126" t="s">
        <v>39</v>
      </c>
      <c r="C42" s="127" t="s">
        <v>79</v>
      </c>
      <c r="D42" s="127" t="s">
        <v>40</v>
      </c>
      <c r="E42" s="127" t="s">
        <v>81</v>
      </c>
      <c r="F42" s="127" t="s">
        <v>25</v>
      </c>
      <c r="G42" s="127" t="s">
        <v>25</v>
      </c>
      <c r="H42" s="127" t="s">
        <v>63</v>
      </c>
      <c r="I42" s="127" t="s">
        <v>25</v>
      </c>
      <c r="J42" s="127">
        <v>257.17</v>
      </c>
      <c r="K42" s="127">
        <v>220.72</v>
      </c>
      <c r="L42" s="127">
        <v>0</v>
      </c>
      <c r="M42" s="127">
        <v>0.54469202672714501</v>
      </c>
      <c r="N42" s="127">
        <v>0</v>
      </c>
      <c r="O42" s="127">
        <v>0</v>
      </c>
      <c r="P42" s="127">
        <v>0</v>
      </c>
      <c r="Q42" s="127">
        <v>81.651381479222096</v>
      </c>
      <c r="R42" s="127">
        <v>12.9082410154636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34.867693444607099</v>
      </c>
      <c r="Y42" s="127">
        <v>0</v>
      </c>
      <c r="Z42" s="127">
        <v>0</v>
      </c>
      <c r="AA42" s="127">
        <v>121.248437286029</v>
      </c>
      <c r="AB42" s="127">
        <v>-6.5754208817057496</v>
      </c>
      <c r="AC42" s="127">
        <v>0</v>
      </c>
      <c r="AD42" s="127">
        <v>0</v>
      </c>
      <c r="AE42" s="127">
        <v>12.525082518049199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226.31510793622601</v>
      </c>
      <c r="AO42" s="127">
        <v>0</v>
      </c>
      <c r="AP42" s="127">
        <v>0</v>
      </c>
      <c r="AQ42" s="127">
        <v>0</v>
      </c>
      <c r="AR42" s="127">
        <v>-5.5968442726807304</v>
      </c>
      <c r="AS42" s="127">
        <v>0</v>
      </c>
      <c r="AT42" s="128">
        <v>0</v>
      </c>
    </row>
    <row r="43" spans="2:46" ht="12" customHeight="1" x14ac:dyDescent="0.25">
      <c r="B43" s="126" t="s">
        <v>31</v>
      </c>
      <c r="C43" s="127" t="s">
        <v>77</v>
      </c>
      <c r="D43" s="127" t="s">
        <v>25</v>
      </c>
      <c r="E43" s="127" t="s">
        <v>25</v>
      </c>
      <c r="F43" s="127" t="s">
        <v>25</v>
      </c>
      <c r="G43" s="127" t="s">
        <v>35</v>
      </c>
      <c r="H43" s="127" t="s">
        <v>63</v>
      </c>
      <c r="I43" s="127" t="s">
        <v>25</v>
      </c>
      <c r="J43" s="127">
        <v>676.67</v>
      </c>
      <c r="K43" s="127">
        <v>239.91</v>
      </c>
      <c r="L43" s="127">
        <v>0</v>
      </c>
      <c r="M43" s="127">
        <v>0.592056550790375</v>
      </c>
      <c r="N43" s="127">
        <v>0</v>
      </c>
      <c r="O43" s="127">
        <v>0</v>
      </c>
      <c r="P43" s="127">
        <v>0</v>
      </c>
      <c r="Q43" s="127">
        <v>88.751501607850102</v>
      </c>
      <c r="R43" s="127">
        <v>14.030696755938701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128.82992376002599</v>
      </c>
      <c r="Y43" s="127">
        <v>0</v>
      </c>
      <c r="Z43" s="127">
        <v>0</v>
      </c>
      <c r="AA43" s="127">
        <v>448.09209561107099</v>
      </c>
      <c r="AB43" s="127">
        <v>-17.235750546752001</v>
      </c>
      <c r="AC43" s="127">
        <v>0</v>
      </c>
      <c r="AD43" s="127">
        <v>0</v>
      </c>
      <c r="AE43" s="127">
        <v>13.6142201283144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245.99468253937599</v>
      </c>
      <c r="AO43" s="127">
        <v>0</v>
      </c>
      <c r="AP43" s="127">
        <v>0</v>
      </c>
      <c r="AQ43" s="127">
        <v>0</v>
      </c>
      <c r="AR43" s="127">
        <v>-6.0835263833486204</v>
      </c>
      <c r="AS43" s="127">
        <v>0</v>
      </c>
      <c r="AT43" s="128">
        <v>0</v>
      </c>
    </row>
    <row r="44" spans="2:46" ht="12" customHeight="1" x14ac:dyDescent="0.25">
      <c r="B44" s="126" t="s">
        <v>31</v>
      </c>
      <c r="C44" s="127" t="s">
        <v>77</v>
      </c>
      <c r="D44" s="127" t="s">
        <v>25</v>
      </c>
      <c r="E44" s="127" t="s">
        <v>25</v>
      </c>
      <c r="F44" s="127" t="s">
        <v>25</v>
      </c>
      <c r="G44" s="127" t="s">
        <v>470</v>
      </c>
      <c r="H44" s="127" t="s">
        <v>63</v>
      </c>
      <c r="I44" s="127" t="s">
        <v>25</v>
      </c>
      <c r="J44" s="127">
        <v>451.62</v>
      </c>
      <c r="K44" s="127">
        <v>239.91</v>
      </c>
      <c r="L44" s="127">
        <v>0</v>
      </c>
      <c r="M44" s="127">
        <v>0.592056550790375</v>
      </c>
      <c r="N44" s="127">
        <v>0</v>
      </c>
      <c r="O44" s="127">
        <v>0</v>
      </c>
      <c r="P44" s="127">
        <v>0</v>
      </c>
      <c r="Q44" s="127">
        <v>88.751501607850102</v>
      </c>
      <c r="R44" s="127">
        <v>14.030696755938701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77.294738331808205</v>
      </c>
      <c r="Y44" s="127">
        <v>0</v>
      </c>
      <c r="Z44" s="127">
        <v>0</v>
      </c>
      <c r="AA44" s="127">
        <v>268.85527975234299</v>
      </c>
      <c r="AB44" s="127">
        <v>-11.518709347410301</v>
      </c>
      <c r="AC44" s="127">
        <v>0</v>
      </c>
      <c r="AD44" s="127">
        <v>0</v>
      </c>
      <c r="AE44" s="127">
        <v>13.6142201283144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245.99468253937599</v>
      </c>
      <c r="AO44" s="127">
        <v>0</v>
      </c>
      <c r="AP44" s="127">
        <v>0</v>
      </c>
      <c r="AQ44" s="127">
        <v>0</v>
      </c>
      <c r="AR44" s="127">
        <v>-6.0835263833486204</v>
      </c>
      <c r="AS44" s="127">
        <v>0</v>
      </c>
      <c r="AT44" s="128">
        <v>0</v>
      </c>
    </row>
    <row r="45" spans="2:46" ht="12" customHeight="1" x14ac:dyDescent="0.25">
      <c r="B45" s="126" t="s">
        <v>31</v>
      </c>
      <c r="C45" s="127" t="s">
        <v>77</v>
      </c>
      <c r="D45" s="127" t="s">
        <v>25</v>
      </c>
      <c r="E45" s="127" t="s">
        <v>25</v>
      </c>
      <c r="F45" s="127" t="s">
        <v>25</v>
      </c>
      <c r="G45" s="127" t="s">
        <v>36</v>
      </c>
      <c r="H45" s="127" t="s">
        <v>63</v>
      </c>
      <c r="I45" s="127" t="s">
        <v>25</v>
      </c>
      <c r="J45" s="127">
        <v>226.58</v>
      </c>
      <c r="K45" s="127">
        <v>239.91</v>
      </c>
      <c r="L45" s="127">
        <v>0</v>
      </c>
      <c r="M45" s="127">
        <v>0.592056550790375</v>
      </c>
      <c r="N45" s="127">
        <v>0</v>
      </c>
      <c r="O45" s="127">
        <v>0</v>
      </c>
      <c r="P45" s="127">
        <v>0</v>
      </c>
      <c r="Q45" s="127">
        <v>88.751501607850102</v>
      </c>
      <c r="R45" s="127">
        <v>14.030696755938701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25.775632524628399</v>
      </c>
      <c r="Y45" s="127">
        <v>0</v>
      </c>
      <c r="Z45" s="127">
        <v>0</v>
      </c>
      <c r="AA45" s="127">
        <v>89.618463893614305</v>
      </c>
      <c r="AB45" s="127">
        <v>-5.8020575741095701</v>
      </c>
      <c r="AC45" s="127">
        <v>0</v>
      </c>
      <c r="AD45" s="127">
        <v>0</v>
      </c>
      <c r="AE45" s="127">
        <v>13.6142201283144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>
        <v>0</v>
      </c>
      <c r="AN45" s="127">
        <v>245.99468253937599</v>
      </c>
      <c r="AO45" s="127">
        <v>0</v>
      </c>
      <c r="AP45" s="127">
        <v>0</v>
      </c>
      <c r="AQ45" s="127">
        <v>0</v>
      </c>
      <c r="AR45" s="127">
        <v>-6.0835263833486204</v>
      </c>
      <c r="AS45" s="127">
        <v>0</v>
      </c>
      <c r="AT45" s="128">
        <v>0</v>
      </c>
    </row>
    <row r="46" spans="2:46" ht="12" customHeight="1" x14ac:dyDescent="0.25">
      <c r="B46" s="126" t="s">
        <v>31</v>
      </c>
      <c r="C46" s="127" t="s">
        <v>23</v>
      </c>
      <c r="D46" s="127" t="s">
        <v>25</v>
      </c>
      <c r="E46" s="127" t="s">
        <v>25</v>
      </c>
      <c r="F46" s="127" t="s">
        <v>25</v>
      </c>
      <c r="G46" s="127" t="s">
        <v>25</v>
      </c>
      <c r="H46" s="127" t="s">
        <v>63</v>
      </c>
      <c r="I46" s="127" t="s">
        <v>25</v>
      </c>
      <c r="J46" s="127">
        <v>279.52999999999997</v>
      </c>
      <c r="K46" s="127">
        <v>239.91</v>
      </c>
      <c r="L46" s="127">
        <v>0</v>
      </c>
      <c r="M46" s="127">
        <v>0.592056550790375</v>
      </c>
      <c r="N46" s="127">
        <v>0</v>
      </c>
      <c r="O46" s="127">
        <v>0</v>
      </c>
      <c r="P46" s="127">
        <v>0</v>
      </c>
      <c r="Q46" s="127">
        <v>88.751501607850102</v>
      </c>
      <c r="R46" s="127">
        <v>14.030696755938701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37.899666787616397</v>
      </c>
      <c r="Y46" s="127">
        <v>0</v>
      </c>
      <c r="Z46" s="127">
        <v>0</v>
      </c>
      <c r="AA46" s="127">
        <v>131.79177965872699</v>
      </c>
      <c r="AB46" s="127">
        <v>-7.1471966105497202</v>
      </c>
      <c r="AC46" s="127">
        <v>0</v>
      </c>
      <c r="AD46" s="127">
        <v>0</v>
      </c>
      <c r="AE46" s="127">
        <v>13.6142201283144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>
        <v>0</v>
      </c>
      <c r="AN46" s="127">
        <v>245.99468253937599</v>
      </c>
      <c r="AO46" s="127">
        <v>0</v>
      </c>
      <c r="AP46" s="127">
        <v>0</v>
      </c>
      <c r="AQ46" s="127">
        <v>0</v>
      </c>
      <c r="AR46" s="127">
        <v>-6.0835263833486204</v>
      </c>
      <c r="AS46" s="127">
        <v>0</v>
      </c>
      <c r="AT46" s="128">
        <v>0</v>
      </c>
    </row>
    <row r="47" spans="2:46" ht="12" customHeight="1" x14ac:dyDescent="0.25">
      <c r="B47" s="126" t="s">
        <v>31</v>
      </c>
      <c r="C47" s="127" t="s">
        <v>79</v>
      </c>
      <c r="D47" s="127" t="s">
        <v>25</v>
      </c>
      <c r="E47" s="127" t="s">
        <v>25</v>
      </c>
      <c r="F47" s="127" t="s">
        <v>25</v>
      </c>
      <c r="G47" s="127" t="s">
        <v>25</v>
      </c>
      <c r="H47" s="127" t="s">
        <v>63</v>
      </c>
      <c r="I47" s="127" t="s">
        <v>25</v>
      </c>
      <c r="J47" s="127">
        <v>279.52999999999997</v>
      </c>
      <c r="K47" s="127">
        <v>239.91</v>
      </c>
      <c r="L47" s="127">
        <v>0</v>
      </c>
      <c r="M47" s="127">
        <v>0.592056550790375</v>
      </c>
      <c r="N47" s="127">
        <v>0</v>
      </c>
      <c r="O47" s="127">
        <v>0</v>
      </c>
      <c r="P47" s="127">
        <v>0</v>
      </c>
      <c r="Q47" s="127">
        <v>88.751501607850102</v>
      </c>
      <c r="R47" s="127">
        <v>14.030696755938701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37.899666787616397</v>
      </c>
      <c r="Y47" s="127">
        <v>0</v>
      </c>
      <c r="Z47" s="127">
        <v>0</v>
      </c>
      <c r="AA47" s="127">
        <v>131.79177965872699</v>
      </c>
      <c r="AB47" s="127">
        <v>-7.1471966105497202</v>
      </c>
      <c r="AC47" s="127">
        <v>0</v>
      </c>
      <c r="AD47" s="127">
        <v>0</v>
      </c>
      <c r="AE47" s="127">
        <v>13.6142201283144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245.99468253937599</v>
      </c>
      <c r="AO47" s="127">
        <v>0</v>
      </c>
      <c r="AP47" s="127">
        <v>0</v>
      </c>
      <c r="AQ47" s="127">
        <v>0</v>
      </c>
      <c r="AR47" s="127">
        <v>-6.0835263833486204</v>
      </c>
      <c r="AS47" s="127">
        <v>0</v>
      </c>
      <c r="AT47" s="128">
        <v>0</v>
      </c>
    </row>
    <row r="48" spans="2:46" ht="12" customHeight="1" x14ac:dyDescent="0.25">
      <c r="B48" s="126" t="s">
        <v>42</v>
      </c>
      <c r="C48" s="127" t="s">
        <v>23</v>
      </c>
      <c r="D48" s="127" t="s">
        <v>43</v>
      </c>
      <c r="E48" s="127" t="s">
        <v>82</v>
      </c>
      <c r="F48" s="127" t="s">
        <v>25</v>
      </c>
      <c r="G48" s="127" t="s">
        <v>25</v>
      </c>
      <c r="H48" s="127" t="s">
        <v>63</v>
      </c>
      <c r="I48" s="127" t="s">
        <v>25</v>
      </c>
      <c r="J48" s="127">
        <v>153.74</v>
      </c>
      <c r="K48" s="127">
        <v>131.94999999999999</v>
      </c>
      <c r="L48" s="127">
        <v>0</v>
      </c>
      <c r="M48" s="127">
        <v>0.32563110293470598</v>
      </c>
      <c r="N48" s="127">
        <v>0</v>
      </c>
      <c r="O48" s="127">
        <v>0</v>
      </c>
      <c r="P48" s="127">
        <v>0</v>
      </c>
      <c r="Q48" s="127">
        <v>48.8133258843175</v>
      </c>
      <c r="R48" s="127">
        <v>7.7168832157662699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20.844816733188999</v>
      </c>
      <c r="Y48" s="127">
        <v>0</v>
      </c>
      <c r="Z48" s="127">
        <v>0</v>
      </c>
      <c r="AA48" s="127">
        <v>72.485478812299704</v>
      </c>
      <c r="AB48" s="127">
        <v>-3.9309581358023502</v>
      </c>
      <c r="AC48" s="127">
        <v>0</v>
      </c>
      <c r="AD48" s="127">
        <v>0</v>
      </c>
      <c r="AE48" s="127">
        <v>7.4878210705729096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135.29707539665699</v>
      </c>
      <c r="AO48" s="127">
        <v>0</v>
      </c>
      <c r="AP48" s="127">
        <v>0</v>
      </c>
      <c r="AQ48" s="127">
        <v>0</v>
      </c>
      <c r="AR48" s="127">
        <v>-3.34593951084174</v>
      </c>
      <c r="AS48" s="127">
        <v>0</v>
      </c>
      <c r="AT48" s="128">
        <v>0</v>
      </c>
    </row>
    <row r="49" spans="2:46" ht="12" customHeight="1" x14ac:dyDescent="0.25">
      <c r="B49" s="129" t="s">
        <v>42</v>
      </c>
      <c r="C49" s="130" t="s">
        <v>23</v>
      </c>
      <c r="D49" s="130" t="s">
        <v>43</v>
      </c>
      <c r="E49" s="130" t="s">
        <v>44</v>
      </c>
      <c r="F49" s="130" t="s">
        <v>25</v>
      </c>
      <c r="G49" s="130" t="s">
        <v>25</v>
      </c>
      <c r="H49" s="130" t="s">
        <v>63</v>
      </c>
      <c r="I49" s="130" t="s">
        <v>25</v>
      </c>
      <c r="J49" s="130">
        <v>167.72</v>
      </c>
      <c r="K49" s="130">
        <v>143.94999999999999</v>
      </c>
      <c r="L49" s="130">
        <v>0</v>
      </c>
      <c r="M49" s="130">
        <v>0.35523393047422502</v>
      </c>
      <c r="N49" s="130">
        <v>0</v>
      </c>
      <c r="O49" s="130">
        <v>0</v>
      </c>
      <c r="P49" s="130">
        <v>0</v>
      </c>
      <c r="Q49" s="130">
        <v>53.250900964709999</v>
      </c>
      <c r="R49" s="130">
        <v>8.4184180535631992</v>
      </c>
      <c r="S49" s="130">
        <v>0</v>
      </c>
      <c r="T49" s="130">
        <v>0</v>
      </c>
      <c r="U49" s="130">
        <v>0</v>
      </c>
      <c r="V49" s="130">
        <v>0</v>
      </c>
      <c r="W49" s="130">
        <v>0</v>
      </c>
      <c r="X49" s="130">
        <v>22.7398000725698</v>
      </c>
      <c r="Y49" s="130">
        <v>0</v>
      </c>
      <c r="Z49" s="130">
        <v>0</v>
      </c>
      <c r="AA49" s="130">
        <v>79.075067795235995</v>
      </c>
      <c r="AB49" s="130">
        <v>-4.2883179663298296</v>
      </c>
      <c r="AC49" s="130">
        <v>0</v>
      </c>
      <c r="AD49" s="130">
        <v>0</v>
      </c>
      <c r="AE49" s="130">
        <v>8.1685320769886207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0">
        <v>0</v>
      </c>
      <c r="AL49" s="130">
        <v>0</v>
      </c>
      <c r="AM49" s="130">
        <v>0</v>
      </c>
      <c r="AN49" s="130">
        <v>147.59680952362601</v>
      </c>
      <c r="AO49" s="130">
        <v>0</v>
      </c>
      <c r="AP49" s="130">
        <v>0</v>
      </c>
      <c r="AQ49" s="130">
        <v>0</v>
      </c>
      <c r="AR49" s="130">
        <v>-3.6501158300091698</v>
      </c>
      <c r="AS49" s="130">
        <v>0</v>
      </c>
      <c r="AT49" s="131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2D35-F67C-4807-8502-D833ACC56261}">
  <dimension ref="B1:AT49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2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32" t="s">
        <v>999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</row>
    <row r="2" spans="2:46" ht="12" customHeight="1" x14ac:dyDescent="0.25">
      <c r="L2" s="133" t="s">
        <v>323</v>
      </c>
      <c r="M2" s="133"/>
      <c r="N2" s="133"/>
      <c r="O2" s="133"/>
      <c r="P2" s="133"/>
      <c r="Q2" s="133"/>
      <c r="R2" s="133"/>
      <c r="S2" s="134"/>
      <c r="T2" s="133" t="s">
        <v>332</v>
      </c>
      <c r="U2" s="133"/>
      <c r="V2" s="133"/>
      <c r="W2" s="133"/>
      <c r="X2" s="133"/>
      <c r="Y2" s="133"/>
      <c r="Z2" s="134"/>
      <c r="AA2" s="135" t="s">
        <v>340</v>
      </c>
      <c r="AB2" s="133" t="s">
        <v>25</v>
      </c>
      <c r="AC2" s="133"/>
      <c r="AD2" s="134"/>
      <c r="AE2" s="133" t="s">
        <v>998</v>
      </c>
      <c r="AF2" s="133"/>
      <c r="AG2" s="133"/>
      <c r="AH2" s="134"/>
      <c r="AI2" s="133" t="s">
        <v>323</v>
      </c>
      <c r="AJ2" s="133"/>
      <c r="AK2" s="133"/>
      <c r="AL2" s="133"/>
      <c r="AM2" s="134"/>
      <c r="AN2" s="135" t="s">
        <v>354</v>
      </c>
      <c r="AO2" s="133" t="s">
        <v>332</v>
      </c>
      <c r="AP2" s="133"/>
      <c r="AQ2" s="133"/>
      <c r="AR2" s="133"/>
      <c r="AS2" s="134"/>
      <c r="AT2" s="136" t="s">
        <v>998</v>
      </c>
    </row>
    <row r="3" spans="2:46" ht="12" customHeight="1" x14ac:dyDescent="0.25">
      <c r="B3" s="123" t="s">
        <v>53</v>
      </c>
      <c r="C3" s="124" t="s">
        <v>54</v>
      </c>
      <c r="D3" s="124" t="s">
        <v>55</v>
      </c>
      <c r="E3" s="124" t="s">
        <v>56</v>
      </c>
      <c r="F3" s="124" t="s">
        <v>57</v>
      </c>
      <c r="G3" s="124" t="s">
        <v>59</v>
      </c>
      <c r="H3" s="124" t="s">
        <v>60</v>
      </c>
      <c r="I3" s="124" t="s">
        <v>601</v>
      </c>
      <c r="J3" s="124" t="s">
        <v>960</v>
      </c>
      <c r="K3" s="124" t="s">
        <v>961</v>
      </c>
      <c r="L3" s="124" t="s">
        <v>962</v>
      </c>
      <c r="M3" s="124" t="s">
        <v>963</v>
      </c>
      <c r="N3" s="124" t="s">
        <v>964</v>
      </c>
      <c r="O3" s="124" t="s">
        <v>965</v>
      </c>
      <c r="P3" s="124" t="s">
        <v>966</v>
      </c>
      <c r="Q3" s="124" t="s">
        <v>967</v>
      </c>
      <c r="R3" s="124" t="s">
        <v>968</v>
      </c>
      <c r="S3" s="124" t="s">
        <v>969</v>
      </c>
      <c r="T3" s="124" t="s">
        <v>970</v>
      </c>
      <c r="U3" s="124" t="s">
        <v>971</v>
      </c>
      <c r="V3" s="124" t="s">
        <v>972</v>
      </c>
      <c r="W3" s="124" t="s">
        <v>973</v>
      </c>
      <c r="X3" s="124" t="s">
        <v>974</v>
      </c>
      <c r="Y3" s="124" t="s">
        <v>975</v>
      </c>
      <c r="Z3" s="124" t="s">
        <v>976</v>
      </c>
      <c r="AA3" s="124" t="s">
        <v>977</v>
      </c>
      <c r="AB3" s="124" t="s">
        <v>978</v>
      </c>
      <c r="AC3" s="124" t="s">
        <v>979</v>
      </c>
      <c r="AD3" s="124" t="s">
        <v>980</v>
      </c>
      <c r="AE3" s="124" t="s">
        <v>981</v>
      </c>
      <c r="AF3" s="124" t="s">
        <v>982</v>
      </c>
      <c r="AG3" s="124" t="s">
        <v>983</v>
      </c>
      <c r="AH3" s="124" t="s">
        <v>984</v>
      </c>
      <c r="AI3" s="124" t="s">
        <v>985</v>
      </c>
      <c r="AJ3" s="124" t="s">
        <v>986</v>
      </c>
      <c r="AK3" s="124" t="s">
        <v>987</v>
      </c>
      <c r="AL3" s="124" t="s">
        <v>988</v>
      </c>
      <c r="AM3" s="124" t="s">
        <v>989</v>
      </c>
      <c r="AN3" s="124" t="s">
        <v>990</v>
      </c>
      <c r="AO3" s="124" t="s">
        <v>991</v>
      </c>
      <c r="AP3" s="124" t="s">
        <v>992</v>
      </c>
      <c r="AQ3" s="124" t="s">
        <v>993</v>
      </c>
      <c r="AR3" s="124" t="s">
        <v>994</v>
      </c>
      <c r="AS3" s="124" t="s">
        <v>995</v>
      </c>
      <c r="AT3" s="125" t="s">
        <v>996</v>
      </c>
    </row>
    <row r="4" spans="2:46" ht="12" customHeight="1" x14ac:dyDescent="0.25">
      <c r="B4" s="126" t="s">
        <v>33</v>
      </c>
      <c r="C4" s="127" t="s">
        <v>34</v>
      </c>
      <c r="D4" s="127" t="s">
        <v>25</v>
      </c>
      <c r="E4" s="127" t="s">
        <v>25</v>
      </c>
      <c r="F4" s="127" t="s">
        <v>70</v>
      </c>
      <c r="G4" s="127" t="s">
        <v>35</v>
      </c>
      <c r="H4" s="127" t="s">
        <v>63</v>
      </c>
      <c r="I4" s="127" t="s">
        <v>25</v>
      </c>
      <c r="J4" s="127">
        <v>7.1</v>
      </c>
      <c r="K4" s="127">
        <v>0</v>
      </c>
      <c r="L4" s="127">
        <v>0</v>
      </c>
      <c r="M4" s="127">
        <v>0.33874302892981001</v>
      </c>
      <c r="N4" s="127">
        <v>0</v>
      </c>
      <c r="O4" s="127">
        <v>0</v>
      </c>
      <c r="P4" s="127">
        <v>0</v>
      </c>
      <c r="Q4" s="127">
        <v>0</v>
      </c>
      <c r="R4" s="127">
        <v>0</v>
      </c>
      <c r="S4" s="127">
        <v>0</v>
      </c>
      <c r="T4" s="127">
        <v>0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0</v>
      </c>
      <c r="AA4" s="127">
        <v>0</v>
      </c>
      <c r="AB4" s="127">
        <v>0</v>
      </c>
      <c r="AC4" s="127">
        <v>0</v>
      </c>
      <c r="AD4" s="127">
        <v>0</v>
      </c>
      <c r="AE4" s="127">
        <v>6.7651161547820902</v>
      </c>
      <c r="AF4" s="127">
        <v>0</v>
      </c>
      <c r="AG4" s="127">
        <v>0</v>
      </c>
      <c r="AH4" s="127">
        <v>0</v>
      </c>
      <c r="AI4" s="127">
        <v>0</v>
      </c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27">
        <v>0</v>
      </c>
      <c r="AR4" s="127">
        <v>0</v>
      </c>
      <c r="AS4" s="127">
        <v>0</v>
      </c>
      <c r="AT4" s="128">
        <v>0</v>
      </c>
    </row>
    <row r="5" spans="2:46" ht="12" customHeight="1" x14ac:dyDescent="0.25">
      <c r="B5" s="126" t="s">
        <v>33</v>
      </c>
      <c r="C5" s="127" t="s">
        <v>34</v>
      </c>
      <c r="D5" s="127" t="s">
        <v>25</v>
      </c>
      <c r="E5" s="127" t="s">
        <v>25</v>
      </c>
      <c r="F5" s="127" t="s">
        <v>70</v>
      </c>
      <c r="G5" s="127" t="s">
        <v>35</v>
      </c>
      <c r="H5" s="127" t="s">
        <v>66</v>
      </c>
      <c r="I5" s="127" t="s">
        <v>25</v>
      </c>
      <c r="J5" s="127">
        <v>41.62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11.818250423713099</v>
      </c>
      <c r="Y5" s="127">
        <v>0</v>
      </c>
      <c r="Z5" s="127">
        <v>0</v>
      </c>
      <c r="AA5" s="127">
        <v>29.802953040694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>
        <v>0</v>
      </c>
      <c r="AN5" s="127">
        <v>0</v>
      </c>
      <c r="AO5" s="127">
        <v>0</v>
      </c>
      <c r="AP5" s="127">
        <v>0</v>
      </c>
      <c r="AQ5" s="127">
        <v>0</v>
      </c>
      <c r="AR5" s="127">
        <v>0</v>
      </c>
      <c r="AS5" s="127">
        <v>0</v>
      </c>
      <c r="AT5" s="128">
        <v>0</v>
      </c>
    </row>
    <row r="6" spans="2:46" ht="12" customHeight="1" x14ac:dyDescent="0.25">
      <c r="B6" s="126" t="s">
        <v>33</v>
      </c>
      <c r="C6" s="127" t="s">
        <v>34</v>
      </c>
      <c r="D6" s="127" t="s">
        <v>25</v>
      </c>
      <c r="E6" s="127" t="s">
        <v>25</v>
      </c>
      <c r="F6" s="127" t="s">
        <v>70</v>
      </c>
      <c r="G6" s="127" t="s">
        <v>36</v>
      </c>
      <c r="H6" s="127" t="s">
        <v>63</v>
      </c>
      <c r="I6" s="127" t="s">
        <v>25</v>
      </c>
      <c r="J6" s="127">
        <v>7.1</v>
      </c>
      <c r="K6" s="127">
        <v>0</v>
      </c>
      <c r="L6" s="127">
        <v>0</v>
      </c>
      <c r="M6" s="127">
        <v>0.33874302892981001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6.7651161547820902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>
        <v>0</v>
      </c>
      <c r="AN6" s="127">
        <v>0</v>
      </c>
      <c r="AO6" s="127">
        <v>0</v>
      </c>
      <c r="AP6" s="127">
        <v>0</v>
      </c>
      <c r="AQ6" s="127">
        <v>0</v>
      </c>
      <c r="AR6" s="127">
        <v>0</v>
      </c>
      <c r="AS6" s="127">
        <v>0</v>
      </c>
      <c r="AT6" s="128">
        <v>0</v>
      </c>
    </row>
    <row r="7" spans="2:46" ht="12" customHeight="1" x14ac:dyDescent="0.25">
      <c r="B7" s="126" t="s">
        <v>33</v>
      </c>
      <c r="C7" s="127" t="s">
        <v>34</v>
      </c>
      <c r="D7" s="127" t="s">
        <v>25</v>
      </c>
      <c r="E7" s="127" t="s">
        <v>25</v>
      </c>
      <c r="F7" s="127" t="s">
        <v>70</v>
      </c>
      <c r="G7" s="127" t="s">
        <v>36</v>
      </c>
      <c r="H7" s="127" t="s">
        <v>66</v>
      </c>
      <c r="I7" s="127" t="s">
        <v>25</v>
      </c>
      <c r="J7" s="127">
        <v>14.96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6.8028695537379598</v>
      </c>
      <c r="Y7" s="127">
        <v>0</v>
      </c>
      <c r="Z7" s="127">
        <v>0</v>
      </c>
      <c r="AA7" s="127">
        <v>8.15697600571721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0</v>
      </c>
      <c r="AN7" s="127">
        <v>0</v>
      </c>
      <c r="AO7" s="127">
        <v>0</v>
      </c>
      <c r="AP7" s="127">
        <v>0</v>
      </c>
      <c r="AQ7" s="127">
        <v>0</v>
      </c>
      <c r="AR7" s="127">
        <v>0</v>
      </c>
      <c r="AS7" s="127">
        <v>0</v>
      </c>
      <c r="AT7" s="128">
        <v>0</v>
      </c>
    </row>
    <row r="8" spans="2:46" ht="12" customHeight="1" x14ac:dyDescent="0.25">
      <c r="B8" s="126" t="s">
        <v>33</v>
      </c>
      <c r="C8" s="127" t="s">
        <v>34</v>
      </c>
      <c r="D8" s="127" t="s">
        <v>25</v>
      </c>
      <c r="E8" s="127" t="s">
        <v>25</v>
      </c>
      <c r="F8" s="127" t="s">
        <v>25</v>
      </c>
      <c r="G8" s="127" t="s">
        <v>35</v>
      </c>
      <c r="H8" s="127" t="s">
        <v>63</v>
      </c>
      <c r="I8" s="127" t="s">
        <v>25</v>
      </c>
      <c r="J8" s="127">
        <v>96.69</v>
      </c>
      <c r="K8" s="127">
        <v>243.99</v>
      </c>
      <c r="L8" s="127">
        <v>0</v>
      </c>
      <c r="M8" s="127">
        <v>0.33874302892981001</v>
      </c>
      <c r="N8" s="127">
        <v>0</v>
      </c>
      <c r="O8" s="127">
        <v>0</v>
      </c>
      <c r="P8" s="127">
        <v>0</v>
      </c>
      <c r="Q8" s="127">
        <v>75.399590652856801</v>
      </c>
      <c r="R8" s="127">
        <v>14.1847782718755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6.7651161547820902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>
        <v>0</v>
      </c>
      <c r="AN8" s="127">
        <v>243.99391310037399</v>
      </c>
      <c r="AO8" s="127">
        <v>0</v>
      </c>
      <c r="AP8" s="127">
        <v>0</v>
      </c>
      <c r="AQ8" s="127">
        <v>0</v>
      </c>
      <c r="AR8" s="127">
        <v>0</v>
      </c>
      <c r="AS8" s="127">
        <v>0</v>
      </c>
      <c r="AT8" s="128">
        <v>0</v>
      </c>
    </row>
    <row r="9" spans="2:46" ht="12" customHeight="1" x14ac:dyDescent="0.25">
      <c r="B9" s="126" t="s">
        <v>33</v>
      </c>
      <c r="C9" s="127" t="s">
        <v>34</v>
      </c>
      <c r="D9" s="127" t="s">
        <v>25</v>
      </c>
      <c r="E9" s="127" t="s">
        <v>25</v>
      </c>
      <c r="F9" s="127" t="s">
        <v>25</v>
      </c>
      <c r="G9" s="127" t="s">
        <v>35</v>
      </c>
      <c r="H9" s="127" t="s">
        <v>66</v>
      </c>
      <c r="I9" s="127" t="s">
        <v>25</v>
      </c>
      <c r="J9" s="127">
        <v>41.62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11.818250423713099</v>
      </c>
      <c r="Y9" s="127">
        <v>0</v>
      </c>
      <c r="Z9" s="127">
        <v>0</v>
      </c>
      <c r="AA9" s="127">
        <v>29.802953040694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8">
        <v>0</v>
      </c>
    </row>
    <row r="10" spans="2:46" ht="12" customHeight="1" x14ac:dyDescent="0.25">
      <c r="B10" s="126" t="s">
        <v>33</v>
      </c>
      <c r="C10" s="127" t="s">
        <v>34</v>
      </c>
      <c r="D10" s="127" t="s">
        <v>25</v>
      </c>
      <c r="E10" s="127" t="s">
        <v>25</v>
      </c>
      <c r="F10" s="127" t="s">
        <v>25</v>
      </c>
      <c r="G10" s="127" t="s">
        <v>36</v>
      </c>
      <c r="H10" s="127" t="s">
        <v>63</v>
      </c>
      <c r="I10" s="127" t="s">
        <v>25</v>
      </c>
      <c r="J10" s="127">
        <v>96.69</v>
      </c>
      <c r="K10" s="127">
        <v>243.99</v>
      </c>
      <c r="L10" s="127">
        <v>0</v>
      </c>
      <c r="M10" s="127">
        <v>0.33874302892981001</v>
      </c>
      <c r="N10" s="127">
        <v>0</v>
      </c>
      <c r="O10" s="127">
        <v>0</v>
      </c>
      <c r="P10" s="127">
        <v>0</v>
      </c>
      <c r="Q10" s="127">
        <v>75.399590652856801</v>
      </c>
      <c r="R10" s="127">
        <v>14.1847782718755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6.7651161547820902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243.99391310037399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8">
        <v>0</v>
      </c>
    </row>
    <row r="11" spans="2:46" ht="12" customHeight="1" x14ac:dyDescent="0.25">
      <c r="B11" s="126" t="s">
        <v>33</v>
      </c>
      <c r="C11" s="127" t="s">
        <v>34</v>
      </c>
      <c r="D11" s="127" t="s">
        <v>25</v>
      </c>
      <c r="E11" s="127" t="s">
        <v>25</v>
      </c>
      <c r="F11" s="127" t="s">
        <v>25</v>
      </c>
      <c r="G11" s="127" t="s">
        <v>36</v>
      </c>
      <c r="H11" s="127" t="s">
        <v>66</v>
      </c>
      <c r="I11" s="127" t="s">
        <v>25</v>
      </c>
      <c r="J11" s="127">
        <v>14.96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6.8028695537379598</v>
      </c>
      <c r="Y11" s="127">
        <v>0</v>
      </c>
      <c r="Z11" s="127">
        <v>0</v>
      </c>
      <c r="AA11" s="127">
        <v>8.15697600571721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8">
        <v>0</v>
      </c>
    </row>
    <row r="12" spans="2:46" ht="12" customHeight="1" x14ac:dyDescent="0.25">
      <c r="B12" s="126" t="s">
        <v>33</v>
      </c>
      <c r="C12" s="127" t="s">
        <v>71</v>
      </c>
      <c r="D12" s="127" t="s">
        <v>25</v>
      </c>
      <c r="E12" s="127" t="s">
        <v>25</v>
      </c>
      <c r="F12" s="127" t="s">
        <v>25</v>
      </c>
      <c r="G12" s="127" t="s">
        <v>25</v>
      </c>
      <c r="H12" s="127" t="s">
        <v>66</v>
      </c>
      <c r="I12" s="127" t="s">
        <v>25</v>
      </c>
      <c r="J12" s="127">
        <v>4.5600000000000005</v>
      </c>
      <c r="K12" s="127">
        <v>0</v>
      </c>
      <c r="L12" s="127">
        <v>0</v>
      </c>
      <c r="M12" s="127">
        <v>1.1774838956606699E-2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4.5526295665628398</v>
      </c>
      <c r="AB12" s="127">
        <v>0</v>
      </c>
      <c r="AC12" s="127">
        <v>0</v>
      </c>
      <c r="AD12" s="127">
        <v>0</v>
      </c>
      <c r="AE12" s="127">
        <v>3.1522837494907398E-4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>
        <v>0</v>
      </c>
      <c r="AN12" s="127">
        <v>0</v>
      </c>
      <c r="AO12" s="127">
        <v>0</v>
      </c>
      <c r="AP12" s="127">
        <v>0</v>
      </c>
      <c r="AQ12" s="127">
        <v>0</v>
      </c>
      <c r="AR12" s="127">
        <v>0</v>
      </c>
      <c r="AS12" s="127">
        <v>0</v>
      </c>
      <c r="AT12" s="128">
        <v>0</v>
      </c>
    </row>
    <row r="13" spans="2:46" ht="12" customHeight="1" x14ac:dyDescent="0.25">
      <c r="B13" s="126" t="s">
        <v>33</v>
      </c>
      <c r="C13" s="127" t="s">
        <v>37</v>
      </c>
      <c r="D13" s="127" t="s">
        <v>25</v>
      </c>
      <c r="E13" s="127" t="s">
        <v>25</v>
      </c>
      <c r="F13" s="127" t="s">
        <v>70</v>
      </c>
      <c r="G13" s="127" t="s">
        <v>35</v>
      </c>
      <c r="H13" s="127" t="s">
        <v>63</v>
      </c>
      <c r="I13" s="127" t="s">
        <v>25</v>
      </c>
      <c r="J13" s="127">
        <v>1008.25</v>
      </c>
      <c r="K13" s="127">
        <v>0</v>
      </c>
      <c r="L13" s="127">
        <v>0</v>
      </c>
      <c r="M13" s="127">
        <v>0.33874302892981001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284.38424330893901</v>
      </c>
      <c r="Y13" s="127">
        <v>0</v>
      </c>
      <c r="Z13" s="127">
        <v>0</v>
      </c>
      <c r="AA13" s="127">
        <v>716.76051695043896</v>
      </c>
      <c r="AB13" s="127">
        <v>0</v>
      </c>
      <c r="AC13" s="127">
        <v>0</v>
      </c>
      <c r="AD13" s="127">
        <v>0</v>
      </c>
      <c r="AE13" s="127">
        <v>6.7651161547820902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>
        <v>0</v>
      </c>
      <c r="AN13" s="127">
        <v>0</v>
      </c>
      <c r="AO13" s="127">
        <v>0</v>
      </c>
      <c r="AP13" s="127">
        <v>0</v>
      </c>
      <c r="AQ13" s="127">
        <v>0</v>
      </c>
      <c r="AR13" s="127">
        <v>0</v>
      </c>
      <c r="AS13" s="127">
        <v>0</v>
      </c>
      <c r="AT13" s="128">
        <v>0</v>
      </c>
    </row>
    <row r="14" spans="2:46" ht="12" customHeight="1" x14ac:dyDescent="0.25">
      <c r="B14" s="126" t="s">
        <v>33</v>
      </c>
      <c r="C14" s="127" t="s">
        <v>37</v>
      </c>
      <c r="D14" s="127" t="s">
        <v>25</v>
      </c>
      <c r="E14" s="127" t="s">
        <v>25</v>
      </c>
      <c r="F14" s="127" t="s">
        <v>70</v>
      </c>
      <c r="G14" s="127" t="s">
        <v>25</v>
      </c>
      <c r="H14" s="127" t="s">
        <v>66</v>
      </c>
      <c r="I14" s="127" t="s">
        <v>25</v>
      </c>
      <c r="J14" s="127">
        <v>14.96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0</v>
      </c>
      <c r="V14" s="127">
        <v>0</v>
      </c>
      <c r="W14" s="127">
        <v>0</v>
      </c>
      <c r="X14" s="127">
        <v>6.8028695537379598</v>
      </c>
      <c r="Y14" s="127">
        <v>0</v>
      </c>
      <c r="Z14" s="127">
        <v>0</v>
      </c>
      <c r="AA14" s="127">
        <v>8.15697600571721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0</v>
      </c>
      <c r="AO14" s="127">
        <v>0</v>
      </c>
      <c r="AP14" s="127">
        <v>0</v>
      </c>
      <c r="AQ14" s="127">
        <v>0</v>
      </c>
      <c r="AR14" s="127">
        <v>0</v>
      </c>
      <c r="AS14" s="127">
        <v>0</v>
      </c>
      <c r="AT14" s="128">
        <v>0</v>
      </c>
    </row>
    <row r="15" spans="2:46" ht="12" customHeight="1" x14ac:dyDescent="0.25">
      <c r="B15" s="126" t="s">
        <v>33</v>
      </c>
      <c r="C15" s="127" t="s">
        <v>37</v>
      </c>
      <c r="D15" s="127" t="s">
        <v>25</v>
      </c>
      <c r="E15" s="127" t="s">
        <v>25</v>
      </c>
      <c r="F15" s="127" t="s">
        <v>70</v>
      </c>
      <c r="G15" s="127" t="s">
        <v>36</v>
      </c>
      <c r="H15" s="127" t="s">
        <v>63</v>
      </c>
      <c r="I15" s="127" t="s">
        <v>25</v>
      </c>
      <c r="J15" s="127">
        <v>7.1</v>
      </c>
      <c r="K15" s="127">
        <v>0</v>
      </c>
      <c r="L15" s="127">
        <v>0</v>
      </c>
      <c r="M15" s="127">
        <v>0.33874302892981001</v>
      </c>
      <c r="N15" s="127">
        <v>0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0</v>
      </c>
      <c r="AD15" s="127">
        <v>0</v>
      </c>
      <c r="AE15" s="127">
        <v>6.7651161547820902</v>
      </c>
      <c r="AF15" s="127">
        <v>0</v>
      </c>
      <c r="AG15" s="127">
        <v>0</v>
      </c>
      <c r="AH15" s="127">
        <v>0</v>
      </c>
      <c r="AI15" s="127">
        <v>0</v>
      </c>
      <c r="AJ15" s="127">
        <v>0</v>
      </c>
      <c r="AK15" s="127">
        <v>0</v>
      </c>
      <c r="AL15" s="127">
        <v>0</v>
      </c>
      <c r="AM15" s="127">
        <v>0</v>
      </c>
      <c r="AN15" s="127">
        <v>0</v>
      </c>
      <c r="AO15" s="127">
        <v>0</v>
      </c>
      <c r="AP15" s="127">
        <v>0</v>
      </c>
      <c r="AQ15" s="127">
        <v>0</v>
      </c>
      <c r="AR15" s="127">
        <v>0</v>
      </c>
      <c r="AS15" s="127">
        <v>0</v>
      </c>
      <c r="AT15" s="128">
        <v>0</v>
      </c>
    </row>
    <row r="16" spans="2:46" ht="12" customHeight="1" x14ac:dyDescent="0.25">
      <c r="B16" s="126" t="s">
        <v>33</v>
      </c>
      <c r="C16" s="127" t="s">
        <v>37</v>
      </c>
      <c r="D16" s="127" t="s">
        <v>25</v>
      </c>
      <c r="E16" s="127" t="s">
        <v>25</v>
      </c>
      <c r="F16" s="127" t="s">
        <v>25</v>
      </c>
      <c r="G16" s="127" t="s">
        <v>35</v>
      </c>
      <c r="H16" s="127" t="s">
        <v>63</v>
      </c>
      <c r="I16" s="127" t="s">
        <v>25</v>
      </c>
      <c r="J16" s="127">
        <v>1097.83</v>
      </c>
      <c r="K16" s="127">
        <v>243.99</v>
      </c>
      <c r="L16" s="127">
        <v>0</v>
      </c>
      <c r="M16" s="127">
        <v>0.33874302892981001</v>
      </c>
      <c r="N16" s="127">
        <v>0</v>
      </c>
      <c r="O16" s="127">
        <v>0</v>
      </c>
      <c r="P16" s="127">
        <v>0</v>
      </c>
      <c r="Q16" s="127">
        <v>75.399590652856801</v>
      </c>
      <c r="R16" s="127">
        <v>14.1847782718755</v>
      </c>
      <c r="S16" s="127">
        <v>0</v>
      </c>
      <c r="T16" s="127">
        <v>0</v>
      </c>
      <c r="U16" s="127">
        <v>0</v>
      </c>
      <c r="V16" s="127">
        <v>0</v>
      </c>
      <c r="W16" s="127">
        <v>0</v>
      </c>
      <c r="X16" s="127">
        <v>284.38424330893901</v>
      </c>
      <c r="Y16" s="127">
        <v>0</v>
      </c>
      <c r="Z16" s="127">
        <v>0</v>
      </c>
      <c r="AA16" s="127">
        <v>716.76051695043896</v>
      </c>
      <c r="AB16" s="127">
        <v>0</v>
      </c>
      <c r="AC16" s="127">
        <v>0</v>
      </c>
      <c r="AD16" s="127">
        <v>0</v>
      </c>
      <c r="AE16" s="127">
        <v>6.7651161547820902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>
        <v>0</v>
      </c>
      <c r="AN16" s="127">
        <v>243.99391310037399</v>
      </c>
      <c r="AO16" s="127">
        <v>0</v>
      </c>
      <c r="AP16" s="127">
        <v>0</v>
      </c>
      <c r="AQ16" s="127">
        <v>0</v>
      </c>
      <c r="AR16" s="127">
        <v>0</v>
      </c>
      <c r="AS16" s="127">
        <v>0</v>
      </c>
      <c r="AT16" s="128">
        <v>0</v>
      </c>
    </row>
    <row r="17" spans="2:46" ht="12" customHeight="1" x14ac:dyDescent="0.25">
      <c r="B17" s="126" t="s">
        <v>33</v>
      </c>
      <c r="C17" s="127" t="s">
        <v>37</v>
      </c>
      <c r="D17" s="127" t="s">
        <v>25</v>
      </c>
      <c r="E17" s="127" t="s">
        <v>25</v>
      </c>
      <c r="F17" s="127" t="s">
        <v>25</v>
      </c>
      <c r="G17" s="127" t="s">
        <v>25</v>
      </c>
      <c r="H17" s="127" t="s">
        <v>66</v>
      </c>
      <c r="I17" s="127" t="s">
        <v>25</v>
      </c>
      <c r="J17" s="127">
        <v>14.96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6.8028695537379598</v>
      </c>
      <c r="Y17" s="127">
        <v>0</v>
      </c>
      <c r="Z17" s="127">
        <v>0</v>
      </c>
      <c r="AA17" s="127">
        <v>8.15697600571721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>
        <v>0</v>
      </c>
      <c r="AN17" s="127">
        <v>0</v>
      </c>
      <c r="AO17" s="127">
        <v>0</v>
      </c>
      <c r="AP17" s="127">
        <v>0</v>
      </c>
      <c r="AQ17" s="127">
        <v>0</v>
      </c>
      <c r="AR17" s="127">
        <v>0</v>
      </c>
      <c r="AS17" s="127">
        <v>0</v>
      </c>
      <c r="AT17" s="128">
        <v>0</v>
      </c>
    </row>
    <row r="18" spans="2:46" ht="12" customHeight="1" x14ac:dyDescent="0.25">
      <c r="B18" s="126" t="s">
        <v>33</v>
      </c>
      <c r="C18" s="127" t="s">
        <v>37</v>
      </c>
      <c r="D18" s="127" t="s">
        <v>25</v>
      </c>
      <c r="E18" s="127" t="s">
        <v>25</v>
      </c>
      <c r="F18" s="127" t="s">
        <v>25</v>
      </c>
      <c r="G18" s="127" t="s">
        <v>36</v>
      </c>
      <c r="H18" s="127" t="s">
        <v>63</v>
      </c>
      <c r="I18" s="127" t="s">
        <v>25</v>
      </c>
      <c r="J18" s="127">
        <v>96.69</v>
      </c>
      <c r="K18" s="127">
        <v>243.99</v>
      </c>
      <c r="L18" s="127">
        <v>0</v>
      </c>
      <c r="M18" s="127">
        <v>0.33874302892981001</v>
      </c>
      <c r="N18" s="127">
        <v>0</v>
      </c>
      <c r="O18" s="127">
        <v>0</v>
      </c>
      <c r="P18" s="127">
        <v>0</v>
      </c>
      <c r="Q18" s="127">
        <v>75.399590652856801</v>
      </c>
      <c r="R18" s="127">
        <v>14.1847782718755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6.7651161547820902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>
        <v>0</v>
      </c>
      <c r="AN18" s="127">
        <v>243.99391310037399</v>
      </c>
      <c r="AO18" s="127">
        <v>0</v>
      </c>
      <c r="AP18" s="127">
        <v>0</v>
      </c>
      <c r="AQ18" s="127">
        <v>0</v>
      </c>
      <c r="AR18" s="127">
        <v>0</v>
      </c>
      <c r="AS18" s="127">
        <v>0</v>
      </c>
      <c r="AT18" s="128">
        <v>0</v>
      </c>
    </row>
    <row r="19" spans="2:46" ht="12" customHeight="1" x14ac:dyDescent="0.25">
      <c r="B19" s="126" t="s">
        <v>72</v>
      </c>
      <c r="C19" s="127" t="s">
        <v>71</v>
      </c>
      <c r="D19" s="127" t="s">
        <v>25</v>
      </c>
      <c r="E19" s="127" t="s">
        <v>25</v>
      </c>
      <c r="F19" s="127" t="s">
        <v>73</v>
      </c>
      <c r="G19" s="127" t="s">
        <v>25</v>
      </c>
      <c r="H19" s="127" t="s">
        <v>66</v>
      </c>
      <c r="I19" s="127" t="s">
        <v>25</v>
      </c>
      <c r="J19" s="127">
        <v>2.62</v>
      </c>
      <c r="K19" s="127">
        <v>0</v>
      </c>
      <c r="L19" s="127">
        <v>0</v>
      </c>
      <c r="M19" s="127">
        <v>6.7428564965183596E-3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2.61514722664199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>
        <v>0</v>
      </c>
      <c r="AN19" s="127">
        <v>0</v>
      </c>
      <c r="AO19" s="127">
        <v>0</v>
      </c>
      <c r="AP19" s="127">
        <v>0</v>
      </c>
      <c r="AQ19" s="127">
        <v>0</v>
      </c>
      <c r="AR19" s="127">
        <v>0</v>
      </c>
      <c r="AS19" s="127">
        <v>0</v>
      </c>
      <c r="AT19" s="128">
        <v>0</v>
      </c>
    </row>
    <row r="20" spans="2:46" ht="12" customHeight="1" x14ac:dyDescent="0.25">
      <c r="B20" s="126" t="s">
        <v>72</v>
      </c>
      <c r="C20" s="127" t="s">
        <v>71</v>
      </c>
      <c r="D20" s="127" t="s">
        <v>25</v>
      </c>
      <c r="E20" s="127" t="s">
        <v>25</v>
      </c>
      <c r="F20" s="127" t="s">
        <v>74</v>
      </c>
      <c r="G20" s="127" t="s">
        <v>25</v>
      </c>
      <c r="H20" s="127" t="s">
        <v>66</v>
      </c>
      <c r="I20" s="127" t="s">
        <v>25</v>
      </c>
      <c r="J20" s="127">
        <v>7.79</v>
      </c>
      <c r="K20" s="127">
        <v>0</v>
      </c>
      <c r="L20" s="127">
        <v>0</v>
      </c>
      <c r="M20" s="127">
        <v>6.7428564965183596E-3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7.7840053697699298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>
        <v>0</v>
      </c>
      <c r="AN20" s="127">
        <v>0</v>
      </c>
      <c r="AO20" s="127">
        <v>0</v>
      </c>
      <c r="AP20" s="127">
        <v>0</v>
      </c>
      <c r="AQ20" s="127">
        <v>0</v>
      </c>
      <c r="AR20" s="127">
        <v>0</v>
      </c>
      <c r="AS20" s="127">
        <v>0</v>
      </c>
      <c r="AT20" s="128">
        <v>0</v>
      </c>
    </row>
    <row r="21" spans="2:46" ht="12" customHeight="1" x14ac:dyDescent="0.25">
      <c r="B21" s="126" t="s">
        <v>22</v>
      </c>
      <c r="C21" s="127" t="s">
        <v>77</v>
      </c>
      <c r="D21" s="127" t="s">
        <v>24</v>
      </c>
      <c r="E21" s="127" t="s">
        <v>24</v>
      </c>
      <c r="F21" s="127" t="s">
        <v>25</v>
      </c>
      <c r="G21" s="127" t="s">
        <v>35</v>
      </c>
      <c r="H21" s="127" t="s">
        <v>63</v>
      </c>
      <c r="I21" s="127" t="s">
        <v>25</v>
      </c>
      <c r="J21" s="127">
        <v>573.25</v>
      </c>
      <c r="K21" s="127">
        <v>243.99</v>
      </c>
      <c r="L21" s="127">
        <v>0</v>
      </c>
      <c r="M21" s="127">
        <v>0.59981511519652597</v>
      </c>
      <c r="N21" s="127">
        <v>0</v>
      </c>
      <c r="O21" s="127">
        <v>0</v>
      </c>
      <c r="P21" s="127">
        <v>0</v>
      </c>
      <c r="Q21" s="127">
        <v>89.761417443877093</v>
      </c>
      <c r="R21" s="127">
        <v>14.1847782718755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99.367016558144996</v>
      </c>
      <c r="Y21" s="127">
        <v>0</v>
      </c>
      <c r="Z21" s="127">
        <v>0</v>
      </c>
      <c r="AA21" s="127">
        <v>355.83782746426198</v>
      </c>
      <c r="AB21" s="127">
        <v>0</v>
      </c>
      <c r="AC21" s="127">
        <v>0</v>
      </c>
      <c r="AD21" s="127">
        <v>0</v>
      </c>
      <c r="AE21" s="127">
        <v>13.503490435755999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>
        <v>0</v>
      </c>
      <c r="AN21" s="127">
        <v>243.99391310037399</v>
      </c>
      <c r="AO21" s="127">
        <v>0</v>
      </c>
      <c r="AP21" s="127">
        <v>0</v>
      </c>
      <c r="AQ21" s="127">
        <v>0</v>
      </c>
      <c r="AR21" s="127">
        <v>0</v>
      </c>
      <c r="AS21" s="127">
        <v>0</v>
      </c>
      <c r="AT21" s="128">
        <v>0</v>
      </c>
    </row>
    <row r="22" spans="2:46" ht="12" customHeight="1" x14ac:dyDescent="0.25">
      <c r="B22" s="126" t="s">
        <v>22</v>
      </c>
      <c r="C22" s="127" t="s">
        <v>77</v>
      </c>
      <c r="D22" s="127" t="s">
        <v>24</v>
      </c>
      <c r="E22" s="127" t="s">
        <v>24</v>
      </c>
      <c r="F22" s="127" t="s">
        <v>25</v>
      </c>
      <c r="G22" s="127" t="s">
        <v>470</v>
      </c>
      <c r="H22" s="127" t="s">
        <v>63</v>
      </c>
      <c r="I22" s="127" t="s">
        <v>25</v>
      </c>
      <c r="J22" s="127">
        <v>391.18</v>
      </c>
      <c r="K22" s="127">
        <v>243.99</v>
      </c>
      <c r="L22" s="127">
        <v>0</v>
      </c>
      <c r="M22" s="127">
        <v>0.59981511519652597</v>
      </c>
      <c r="N22" s="127">
        <v>0</v>
      </c>
      <c r="O22" s="127">
        <v>0</v>
      </c>
      <c r="P22" s="127">
        <v>0</v>
      </c>
      <c r="Q22" s="127">
        <v>89.761417443877093</v>
      </c>
      <c r="R22" s="127">
        <v>14.1847782718755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59.632705001414301</v>
      </c>
      <c r="Y22" s="127">
        <v>0</v>
      </c>
      <c r="Z22" s="127">
        <v>0</v>
      </c>
      <c r="AA22" s="127">
        <v>213.50271886425699</v>
      </c>
      <c r="AB22" s="127">
        <v>0</v>
      </c>
      <c r="AC22" s="127">
        <v>0</v>
      </c>
      <c r="AD22" s="127">
        <v>0</v>
      </c>
      <c r="AE22" s="127">
        <v>13.503490435755999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>
        <v>0</v>
      </c>
      <c r="AN22" s="127">
        <v>243.99391310037399</v>
      </c>
      <c r="AO22" s="127">
        <v>0</v>
      </c>
      <c r="AP22" s="127">
        <v>0</v>
      </c>
      <c r="AQ22" s="127">
        <v>0</v>
      </c>
      <c r="AR22" s="127">
        <v>0</v>
      </c>
      <c r="AS22" s="127">
        <v>0</v>
      </c>
      <c r="AT22" s="128">
        <v>0</v>
      </c>
    </row>
    <row r="23" spans="2:46" ht="12" customHeight="1" x14ac:dyDescent="0.25">
      <c r="B23" s="126" t="s">
        <v>22</v>
      </c>
      <c r="C23" s="127" t="s">
        <v>77</v>
      </c>
      <c r="D23" s="127" t="s">
        <v>24</v>
      </c>
      <c r="E23" s="127" t="s">
        <v>24</v>
      </c>
      <c r="F23" s="127" t="s">
        <v>25</v>
      </c>
      <c r="G23" s="127" t="s">
        <v>36</v>
      </c>
      <c r="H23" s="127" t="s">
        <v>63</v>
      </c>
      <c r="I23" s="127" t="s">
        <v>25</v>
      </c>
      <c r="J23" s="127">
        <v>209.1</v>
      </c>
      <c r="K23" s="127">
        <v>243.99</v>
      </c>
      <c r="L23" s="127">
        <v>0</v>
      </c>
      <c r="M23" s="127">
        <v>0.59981511519652597</v>
      </c>
      <c r="N23" s="127">
        <v>0</v>
      </c>
      <c r="O23" s="127">
        <v>0</v>
      </c>
      <c r="P23" s="127">
        <v>0</v>
      </c>
      <c r="Q23" s="127">
        <v>89.761417443877093</v>
      </c>
      <c r="R23" s="127">
        <v>14.1847782718755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19.8827746115245</v>
      </c>
      <c r="Y23" s="127">
        <v>0</v>
      </c>
      <c r="Z23" s="127">
        <v>0</v>
      </c>
      <c r="AA23" s="127">
        <v>71.167498335752299</v>
      </c>
      <c r="AB23" s="127">
        <v>0</v>
      </c>
      <c r="AC23" s="127">
        <v>0</v>
      </c>
      <c r="AD23" s="127">
        <v>0</v>
      </c>
      <c r="AE23" s="127">
        <v>13.503490435755999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>
        <v>0</v>
      </c>
      <c r="AN23" s="127">
        <v>243.99391310037399</v>
      </c>
      <c r="AO23" s="127">
        <v>0</v>
      </c>
      <c r="AP23" s="127">
        <v>0</v>
      </c>
      <c r="AQ23" s="127">
        <v>0</v>
      </c>
      <c r="AR23" s="127">
        <v>0</v>
      </c>
      <c r="AS23" s="127">
        <v>0</v>
      </c>
      <c r="AT23" s="128">
        <v>0</v>
      </c>
    </row>
    <row r="24" spans="2:46" ht="12" customHeight="1" x14ac:dyDescent="0.25">
      <c r="B24" s="126" t="s">
        <v>22</v>
      </c>
      <c r="C24" s="127" t="s">
        <v>23</v>
      </c>
      <c r="D24" s="127" t="s">
        <v>24</v>
      </c>
      <c r="E24" s="127" t="s">
        <v>997</v>
      </c>
      <c r="F24" s="127" t="s">
        <v>25</v>
      </c>
      <c r="G24" s="127" t="s">
        <v>25</v>
      </c>
      <c r="H24" s="127" t="s">
        <v>63</v>
      </c>
      <c r="I24" s="127" t="s">
        <v>25</v>
      </c>
      <c r="J24" s="127">
        <v>182.71</v>
      </c>
      <c r="K24" s="127">
        <v>243.99</v>
      </c>
      <c r="L24" s="127">
        <v>0</v>
      </c>
      <c r="M24" s="127">
        <v>0.59981511519652597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36.813589755980502</v>
      </c>
      <c r="Y24" s="127">
        <v>0</v>
      </c>
      <c r="Z24" s="127">
        <v>0</v>
      </c>
      <c r="AA24" s="127">
        <v>131.79177965872699</v>
      </c>
      <c r="AB24" s="127">
        <v>0</v>
      </c>
      <c r="AC24" s="127">
        <v>0</v>
      </c>
      <c r="AD24" s="127">
        <v>0</v>
      </c>
      <c r="AE24" s="127">
        <v>13.503490435755999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243.99391310037399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8">
        <v>0</v>
      </c>
    </row>
    <row r="25" spans="2:46" ht="12" customHeight="1" x14ac:dyDescent="0.25">
      <c r="B25" s="126" t="s">
        <v>22</v>
      </c>
      <c r="C25" s="127" t="s">
        <v>23</v>
      </c>
      <c r="D25" s="127" t="s">
        <v>24</v>
      </c>
      <c r="E25" s="127" t="s">
        <v>24</v>
      </c>
      <c r="F25" s="127" t="s">
        <v>25</v>
      </c>
      <c r="G25" s="127" t="s">
        <v>25</v>
      </c>
      <c r="H25" s="127" t="s">
        <v>63</v>
      </c>
      <c r="I25" s="127" t="s">
        <v>25</v>
      </c>
      <c r="J25" s="127">
        <v>286.64999999999998</v>
      </c>
      <c r="K25" s="127">
        <v>243.99</v>
      </c>
      <c r="L25" s="127">
        <v>0</v>
      </c>
      <c r="M25" s="127">
        <v>0.59981511519652597</v>
      </c>
      <c r="N25" s="127">
        <v>0</v>
      </c>
      <c r="O25" s="127">
        <v>0</v>
      </c>
      <c r="P25" s="127">
        <v>0</v>
      </c>
      <c r="Q25" s="127">
        <v>89.761417443877093</v>
      </c>
      <c r="R25" s="127">
        <v>14.1847782718755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36.813589755980502</v>
      </c>
      <c r="Y25" s="127">
        <v>0</v>
      </c>
      <c r="Z25" s="127">
        <v>0</v>
      </c>
      <c r="AA25" s="127">
        <v>131.79177965872699</v>
      </c>
      <c r="AB25" s="127">
        <v>0</v>
      </c>
      <c r="AC25" s="127">
        <v>0</v>
      </c>
      <c r="AD25" s="127">
        <v>0</v>
      </c>
      <c r="AE25" s="127">
        <v>13.503490435755999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>
        <v>0</v>
      </c>
      <c r="AN25" s="127">
        <v>243.99391310037399</v>
      </c>
      <c r="AO25" s="127">
        <v>0</v>
      </c>
      <c r="AP25" s="127">
        <v>0</v>
      </c>
      <c r="AQ25" s="127">
        <v>0</v>
      </c>
      <c r="AR25" s="127">
        <v>0</v>
      </c>
      <c r="AS25" s="127">
        <v>0</v>
      </c>
      <c r="AT25" s="128">
        <v>0</v>
      </c>
    </row>
    <row r="26" spans="2:46" ht="12" customHeight="1" x14ac:dyDescent="0.25">
      <c r="B26" s="126" t="s">
        <v>22</v>
      </c>
      <c r="C26" s="127" t="s">
        <v>79</v>
      </c>
      <c r="D26" s="127" t="s">
        <v>24</v>
      </c>
      <c r="E26" s="127" t="s">
        <v>997</v>
      </c>
      <c r="F26" s="127" t="s">
        <v>25</v>
      </c>
      <c r="G26" s="127" t="s">
        <v>25</v>
      </c>
      <c r="H26" s="127" t="s">
        <v>63</v>
      </c>
      <c r="I26" s="127" t="s">
        <v>25</v>
      </c>
      <c r="J26" s="127">
        <v>182.71</v>
      </c>
      <c r="K26" s="127">
        <v>243.99</v>
      </c>
      <c r="L26" s="127">
        <v>0</v>
      </c>
      <c r="M26" s="127">
        <v>0.59981511519652597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36.813589755980502</v>
      </c>
      <c r="Y26" s="127">
        <v>0</v>
      </c>
      <c r="Z26" s="127">
        <v>0</v>
      </c>
      <c r="AA26" s="127">
        <v>131.79177965872699</v>
      </c>
      <c r="AB26" s="127">
        <v>0</v>
      </c>
      <c r="AC26" s="127">
        <v>0</v>
      </c>
      <c r="AD26" s="127">
        <v>0</v>
      </c>
      <c r="AE26" s="127">
        <v>13.503490435755999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243.99391310037399</v>
      </c>
      <c r="AO26" s="127">
        <v>0</v>
      </c>
      <c r="AP26" s="127">
        <v>0</v>
      </c>
      <c r="AQ26" s="127">
        <v>0</v>
      </c>
      <c r="AR26" s="127">
        <v>0</v>
      </c>
      <c r="AS26" s="127">
        <v>0</v>
      </c>
      <c r="AT26" s="128">
        <v>0</v>
      </c>
    </row>
    <row r="27" spans="2:46" ht="12" customHeight="1" x14ac:dyDescent="0.25">
      <c r="B27" s="126" t="s">
        <v>22</v>
      </c>
      <c r="C27" s="127" t="s">
        <v>79</v>
      </c>
      <c r="D27" s="127" t="s">
        <v>24</v>
      </c>
      <c r="E27" s="127" t="s">
        <v>24</v>
      </c>
      <c r="F27" s="127" t="s">
        <v>25</v>
      </c>
      <c r="G27" s="127" t="s">
        <v>25</v>
      </c>
      <c r="H27" s="127" t="s">
        <v>63</v>
      </c>
      <c r="I27" s="127" t="s">
        <v>25</v>
      </c>
      <c r="J27" s="127">
        <v>286.64999999999998</v>
      </c>
      <c r="K27" s="127">
        <v>243.99</v>
      </c>
      <c r="L27" s="127">
        <v>0</v>
      </c>
      <c r="M27" s="127">
        <v>0.59981511519652597</v>
      </c>
      <c r="N27" s="127">
        <v>0</v>
      </c>
      <c r="O27" s="127">
        <v>0</v>
      </c>
      <c r="P27" s="127">
        <v>0</v>
      </c>
      <c r="Q27" s="127">
        <v>89.761417443877093</v>
      </c>
      <c r="R27" s="127">
        <v>14.1847782718755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36.813589755980502</v>
      </c>
      <c r="Y27" s="127">
        <v>0</v>
      </c>
      <c r="Z27" s="127">
        <v>0</v>
      </c>
      <c r="AA27" s="127">
        <v>131.79177965872699</v>
      </c>
      <c r="AB27" s="127">
        <v>0</v>
      </c>
      <c r="AC27" s="127">
        <v>0</v>
      </c>
      <c r="AD27" s="127">
        <v>0</v>
      </c>
      <c r="AE27" s="127">
        <v>13.503490435755999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>
        <v>0</v>
      </c>
      <c r="AN27" s="127">
        <v>243.99391310037399</v>
      </c>
      <c r="AO27" s="127">
        <v>0</v>
      </c>
      <c r="AP27" s="127">
        <v>0</v>
      </c>
      <c r="AQ27" s="127">
        <v>0</v>
      </c>
      <c r="AR27" s="127">
        <v>0</v>
      </c>
      <c r="AS27" s="127">
        <v>0</v>
      </c>
      <c r="AT27" s="128">
        <v>0</v>
      </c>
    </row>
    <row r="28" spans="2:46" ht="12" customHeight="1" x14ac:dyDescent="0.25">
      <c r="B28" s="126" t="s">
        <v>39</v>
      </c>
      <c r="C28" s="127" t="s">
        <v>77</v>
      </c>
      <c r="D28" s="127" t="s">
        <v>40</v>
      </c>
      <c r="E28" s="127" t="s">
        <v>80</v>
      </c>
      <c r="F28" s="127" t="s">
        <v>25</v>
      </c>
      <c r="G28" s="127" t="s">
        <v>35</v>
      </c>
      <c r="H28" s="127" t="s">
        <v>63</v>
      </c>
      <c r="I28" s="127" t="s">
        <v>25</v>
      </c>
      <c r="J28" s="127">
        <v>578.49</v>
      </c>
      <c r="K28" s="127">
        <v>229.35</v>
      </c>
      <c r="L28" s="127">
        <v>0</v>
      </c>
      <c r="M28" s="127">
        <v>0.56382620828473395</v>
      </c>
      <c r="N28" s="127">
        <v>0</v>
      </c>
      <c r="O28" s="127">
        <v>0</v>
      </c>
      <c r="P28" s="127">
        <v>0</v>
      </c>
      <c r="Q28" s="127">
        <v>84.375732397244505</v>
      </c>
      <c r="R28" s="127">
        <v>13.333691575563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102.067200434689</v>
      </c>
      <c r="Y28" s="127">
        <v>0</v>
      </c>
      <c r="Z28" s="127">
        <v>0</v>
      </c>
      <c r="AA28" s="127">
        <v>365.45862603620702</v>
      </c>
      <c r="AB28" s="127">
        <v>0</v>
      </c>
      <c r="AC28" s="127">
        <v>0</v>
      </c>
      <c r="AD28" s="127">
        <v>0</v>
      </c>
      <c r="AE28" s="127">
        <v>12.693281009610599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229.35427831435101</v>
      </c>
      <c r="AO28" s="127">
        <v>0</v>
      </c>
      <c r="AP28" s="127">
        <v>0</v>
      </c>
      <c r="AQ28" s="127">
        <v>0</v>
      </c>
      <c r="AR28" s="127">
        <v>0</v>
      </c>
      <c r="AS28" s="127">
        <v>0</v>
      </c>
      <c r="AT28" s="128">
        <v>0</v>
      </c>
    </row>
    <row r="29" spans="2:46" ht="12" customHeight="1" x14ac:dyDescent="0.25">
      <c r="B29" s="126" t="s">
        <v>39</v>
      </c>
      <c r="C29" s="127" t="s">
        <v>77</v>
      </c>
      <c r="D29" s="127" t="s">
        <v>40</v>
      </c>
      <c r="E29" s="127" t="s">
        <v>80</v>
      </c>
      <c r="F29" s="127" t="s">
        <v>25</v>
      </c>
      <c r="G29" s="127" t="s">
        <v>470</v>
      </c>
      <c r="H29" s="127" t="s">
        <v>63</v>
      </c>
      <c r="I29" s="127" t="s">
        <v>25</v>
      </c>
      <c r="J29" s="127">
        <v>391.46</v>
      </c>
      <c r="K29" s="127">
        <v>229.35</v>
      </c>
      <c r="L29" s="127">
        <v>0</v>
      </c>
      <c r="M29" s="127">
        <v>0.56382620828473395</v>
      </c>
      <c r="N29" s="127">
        <v>0</v>
      </c>
      <c r="O29" s="127">
        <v>0</v>
      </c>
      <c r="P29" s="127">
        <v>0</v>
      </c>
      <c r="Q29" s="127">
        <v>84.375732397244505</v>
      </c>
      <c r="R29" s="127">
        <v>13.333691575563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61.222702217009797</v>
      </c>
      <c r="Y29" s="127">
        <v>0</v>
      </c>
      <c r="Z29" s="127">
        <v>0</v>
      </c>
      <c r="AA29" s="127">
        <v>219.275238749398</v>
      </c>
      <c r="AB29" s="127">
        <v>0</v>
      </c>
      <c r="AC29" s="127">
        <v>0</v>
      </c>
      <c r="AD29" s="127">
        <v>0</v>
      </c>
      <c r="AE29" s="127">
        <v>12.693281009610599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229.35427831435101</v>
      </c>
      <c r="AO29" s="127">
        <v>0</v>
      </c>
      <c r="AP29" s="127">
        <v>0</v>
      </c>
      <c r="AQ29" s="127">
        <v>0</v>
      </c>
      <c r="AR29" s="127">
        <v>0</v>
      </c>
      <c r="AS29" s="127">
        <v>0</v>
      </c>
      <c r="AT29" s="128">
        <v>0</v>
      </c>
    </row>
    <row r="30" spans="2:46" ht="12" customHeight="1" x14ac:dyDescent="0.25">
      <c r="B30" s="126" t="s">
        <v>39</v>
      </c>
      <c r="C30" s="127" t="s">
        <v>77</v>
      </c>
      <c r="D30" s="127" t="s">
        <v>40</v>
      </c>
      <c r="E30" s="127" t="s">
        <v>80</v>
      </c>
      <c r="F30" s="127" t="s">
        <v>25</v>
      </c>
      <c r="G30" s="127" t="s">
        <v>36</v>
      </c>
      <c r="H30" s="127" t="s">
        <v>63</v>
      </c>
      <c r="I30" s="127" t="s">
        <v>25</v>
      </c>
      <c r="J30" s="127">
        <v>204.48</v>
      </c>
      <c r="K30" s="127">
        <v>229.35</v>
      </c>
      <c r="L30" s="127">
        <v>0</v>
      </c>
      <c r="M30" s="127">
        <v>0.56382620828473395</v>
      </c>
      <c r="N30" s="127">
        <v>0</v>
      </c>
      <c r="O30" s="127">
        <v>0</v>
      </c>
      <c r="P30" s="127">
        <v>0</v>
      </c>
      <c r="Q30" s="127">
        <v>84.375732397244505</v>
      </c>
      <c r="R30" s="127">
        <v>13.333691575563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20.422249108839502</v>
      </c>
      <c r="Y30" s="127">
        <v>0</v>
      </c>
      <c r="Z30" s="127">
        <v>0</v>
      </c>
      <c r="AA30" s="127">
        <v>73.091746249799499</v>
      </c>
      <c r="AB30" s="127">
        <v>0</v>
      </c>
      <c r="AC30" s="127">
        <v>0</v>
      </c>
      <c r="AD30" s="127">
        <v>0</v>
      </c>
      <c r="AE30" s="127">
        <v>12.693281009610599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>
        <v>0</v>
      </c>
      <c r="AN30" s="127">
        <v>229.35427831435101</v>
      </c>
      <c r="AO30" s="127">
        <v>0</v>
      </c>
      <c r="AP30" s="127">
        <v>0</v>
      </c>
      <c r="AQ30" s="127">
        <v>0</v>
      </c>
      <c r="AR30" s="127">
        <v>0</v>
      </c>
      <c r="AS30" s="127">
        <v>0</v>
      </c>
      <c r="AT30" s="128">
        <v>0</v>
      </c>
    </row>
    <row r="31" spans="2:46" ht="12" customHeight="1" x14ac:dyDescent="0.25">
      <c r="B31" s="126" t="s">
        <v>39</v>
      </c>
      <c r="C31" s="127" t="s">
        <v>77</v>
      </c>
      <c r="D31" s="127" t="s">
        <v>40</v>
      </c>
      <c r="E31" s="127" t="s">
        <v>25</v>
      </c>
      <c r="F31" s="127" t="s">
        <v>25</v>
      </c>
      <c r="G31" s="127" t="s">
        <v>35</v>
      </c>
      <c r="H31" s="127" t="s">
        <v>63</v>
      </c>
      <c r="I31" s="127" t="s">
        <v>25</v>
      </c>
      <c r="J31" s="127">
        <v>578.49</v>
      </c>
      <c r="K31" s="127">
        <v>229.35</v>
      </c>
      <c r="L31" s="127">
        <v>0</v>
      </c>
      <c r="M31" s="127">
        <v>0.56382620828473395</v>
      </c>
      <c r="N31" s="127">
        <v>0</v>
      </c>
      <c r="O31" s="127">
        <v>0</v>
      </c>
      <c r="P31" s="127">
        <v>0</v>
      </c>
      <c r="Q31" s="127">
        <v>84.375732397244505</v>
      </c>
      <c r="R31" s="127">
        <v>13.333691575563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102.067200434689</v>
      </c>
      <c r="Y31" s="127">
        <v>0</v>
      </c>
      <c r="Z31" s="127">
        <v>0</v>
      </c>
      <c r="AA31" s="127">
        <v>365.45862603620702</v>
      </c>
      <c r="AB31" s="127">
        <v>0</v>
      </c>
      <c r="AC31" s="127">
        <v>0</v>
      </c>
      <c r="AD31" s="127">
        <v>0</v>
      </c>
      <c r="AE31" s="127">
        <v>12.693281009610599</v>
      </c>
      <c r="AF31" s="127">
        <v>0</v>
      </c>
      <c r="AG31" s="127">
        <v>0</v>
      </c>
      <c r="AH31" s="127">
        <v>0</v>
      </c>
      <c r="AI31" s="127">
        <v>0</v>
      </c>
      <c r="AJ31" s="127">
        <v>0</v>
      </c>
      <c r="AK31" s="127">
        <v>0</v>
      </c>
      <c r="AL31" s="127">
        <v>0</v>
      </c>
      <c r="AM31" s="127">
        <v>0</v>
      </c>
      <c r="AN31" s="127">
        <v>229.35427831435101</v>
      </c>
      <c r="AO31" s="127">
        <v>0</v>
      </c>
      <c r="AP31" s="127">
        <v>0</v>
      </c>
      <c r="AQ31" s="127">
        <v>0</v>
      </c>
      <c r="AR31" s="127">
        <v>0</v>
      </c>
      <c r="AS31" s="127">
        <v>0</v>
      </c>
      <c r="AT31" s="128">
        <v>0</v>
      </c>
    </row>
    <row r="32" spans="2:46" ht="12" customHeight="1" x14ac:dyDescent="0.25">
      <c r="B32" s="126" t="s">
        <v>39</v>
      </c>
      <c r="C32" s="127" t="s">
        <v>77</v>
      </c>
      <c r="D32" s="127" t="s">
        <v>40</v>
      </c>
      <c r="E32" s="127" t="s">
        <v>25</v>
      </c>
      <c r="F32" s="127" t="s">
        <v>25</v>
      </c>
      <c r="G32" s="127" t="s">
        <v>470</v>
      </c>
      <c r="H32" s="127" t="s">
        <v>63</v>
      </c>
      <c r="I32" s="127" t="s">
        <v>25</v>
      </c>
      <c r="J32" s="127">
        <v>391.46</v>
      </c>
      <c r="K32" s="127">
        <v>229.35</v>
      </c>
      <c r="L32" s="127">
        <v>0</v>
      </c>
      <c r="M32" s="127">
        <v>0.56382620828473395</v>
      </c>
      <c r="N32" s="127">
        <v>0</v>
      </c>
      <c r="O32" s="127">
        <v>0</v>
      </c>
      <c r="P32" s="127">
        <v>0</v>
      </c>
      <c r="Q32" s="127">
        <v>84.375732397244505</v>
      </c>
      <c r="R32" s="127">
        <v>13.333691575563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61.222702217009797</v>
      </c>
      <c r="Y32" s="127">
        <v>0</v>
      </c>
      <c r="Z32" s="127">
        <v>0</v>
      </c>
      <c r="AA32" s="127">
        <v>219.275238749398</v>
      </c>
      <c r="AB32" s="127">
        <v>0</v>
      </c>
      <c r="AC32" s="127">
        <v>0</v>
      </c>
      <c r="AD32" s="127">
        <v>0</v>
      </c>
      <c r="AE32" s="127">
        <v>12.693281009610599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229.35427831435101</v>
      </c>
      <c r="AO32" s="127">
        <v>0</v>
      </c>
      <c r="AP32" s="127">
        <v>0</v>
      </c>
      <c r="AQ32" s="127">
        <v>0</v>
      </c>
      <c r="AR32" s="127">
        <v>0</v>
      </c>
      <c r="AS32" s="127">
        <v>0</v>
      </c>
      <c r="AT32" s="128">
        <v>0</v>
      </c>
    </row>
    <row r="33" spans="2:46" ht="12" customHeight="1" x14ac:dyDescent="0.25">
      <c r="B33" s="126" t="s">
        <v>39</v>
      </c>
      <c r="C33" s="127" t="s">
        <v>77</v>
      </c>
      <c r="D33" s="127" t="s">
        <v>40</v>
      </c>
      <c r="E33" s="127" t="s">
        <v>25</v>
      </c>
      <c r="F33" s="127" t="s">
        <v>25</v>
      </c>
      <c r="G33" s="127" t="s">
        <v>36</v>
      </c>
      <c r="H33" s="127" t="s">
        <v>63</v>
      </c>
      <c r="I33" s="127" t="s">
        <v>25</v>
      </c>
      <c r="J33" s="127">
        <v>204.48</v>
      </c>
      <c r="K33" s="127">
        <v>229.35</v>
      </c>
      <c r="L33" s="127">
        <v>0</v>
      </c>
      <c r="M33" s="127">
        <v>0.56382620828473395</v>
      </c>
      <c r="N33" s="127">
        <v>0</v>
      </c>
      <c r="O33" s="127">
        <v>0</v>
      </c>
      <c r="P33" s="127">
        <v>0</v>
      </c>
      <c r="Q33" s="127">
        <v>84.375732397244505</v>
      </c>
      <c r="R33" s="127">
        <v>13.333691575563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20.422249108839502</v>
      </c>
      <c r="Y33" s="127">
        <v>0</v>
      </c>
      <c r="Z33" s="127">
        <v>0</v>
      </c>
      <c r="AA33" s="127">
        <v>73.091746249799499</v>
      </c>
      <c r="AB33" s="127">
        <v>0</v>
      </c>
      <c r="AC33" s="127">
        <v>0</v>
      </c>
      <c r="AD33" s="127">
        <v>0</v>
      </c>
      <c r="AE33" s="127">
        <v>12.693281009610599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>
        <v>0</v>
      </c>
      <c r="AN33" s="127">
        <v>229.35427831435101</v>
      </c>
      <c r="AO33" s="127">
        <v>0</v>
      </c>
      <c r="AP33" s="127">
        <v>0</v>
      </c>
      <c r="AQ33" s="127">
        <v>0</v>
      </c>
      <c r="AR33" s="127">
        <v>0</v>
      </c>
      <c r="AS33" s="127">
        <v>0</v>
      </c>
      <c r="AT33" s="128">
        <v>0</v>
      </c>
    </row>
    <row r="34" spans="2:46" ht="12" customHeight="1" x14ac:dyDescent="0.25">
      <c r="B34" s="126" t="s">
        <v>39</v>
      </c>
      <c r="C34" s="127" t="s">
        <v>77</v>
      </c>
      <c r="D34" s="127" t="s">
        <v>40</v>
      </c>
      <c r="E34" s="127" t="s">
        <v>81</v>
      </c>
      <c r="F34" s="127" t="s">
        <v>25</v>
      </c>
      <c r="G34" s="127" t="s">
        <v>35</v>
      </c>
      <c r="H34" s="127" t="s">
        <v>63</v>
      </c>
      <c r="I34" s="127" t="s">
        <v>25</v>
      </c>
      <c r="J34" s="127">
        <v>566.17999999999995</v>
      </c>
      <c r="K34" s="127">
        <v>224.47</v>
      </c>
      <c r="L34" s="127">
        <v>0</v>
      </c>
      <c r="M34" s="127">
        <v>0.55182990598080395</v>
      </c>
      <c r="N34" s="127">
        <v>0</v>
      </c>
      <c r="O34" s="127">
        <v>0</v>
      </c>
      <c r="P34" s="127">
        <v>0</v>
      </c>
      <c r="Q34" s="127">
        <v>82.580504048366905</v>
      </c>
      <c r="R34" s="127">
        <v>13.049996010125501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99.895557872248702</v>
      </c>
      <c r="Y34" s="127">
        <v>0</v>
      </c>
      <c r="Z34" s="127">
        <v>0</v>
      </c>
      <c r="AA34" s="127">
        <v>357.68291058862798</v>
      </c>
      <c r="AB34" s="127">
        <v>0</v>
      </c>
      <c r="AC34" s="127">
        <v>0</v>
      </c>
      <c r="AD34" s="127">
        <v>0</v>
      </c>
      <c r="AE34" s="127">
        <v>12.4232112008955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>
        <v>0</v>
      </c>
      <c r="AN34" s="127">
        <v>224.47440005234401</v>
      </c>
      <c r="AO34" s="127">
        <v>0</v>
      </c>
      <c r="AP34" s="127">
        <v>0</v>
      </c>
      <c r="AQ34" s="127">
        <v>0</v>
      </c>
      <c r="AR34" s="127">
        <v>0</v>
      </c>
      <c r="AS34" s="127">
        <v>0</v>
      </c>
      <c r="AT34" s="128">
        <v>0</v>
      </c>
    </row>
    <row r="35" spans="2:46" ht="12" customHeight="1" x14ac:dyDescent="0.25">
      <c r="B35" s="126" t="s">
        <v>39</v>
      </c>
      <c r="C35" s="127" t="s">
        <v>77</v>
      </c>
      <c r="D35" s="127" t="s">
        <v>40</v>
      </c>
      <c r="E35" s="127" t="s">
        <v>81</v>
      </c>
      <c r="F35" s="127" t="s">
        <v>25</v>
      </c>
      <c r="G35" s="127" t="s">
        <v>470</v>
      </c>
      <c r="H35" s="127" t="s">
        <v>63</v>
      </c>
      <c r="I35" s="127" t="s">
        <v>25</v>
      </c>
      <c r="J35" s="127">
        <v>383.14</v>
      </c>
      <c r="K35" s="127">
        <v>224.47</v>
      </c>
      <c r="L35" s="127">
        <v>0</v>
      </c>
      <c r="M35" s="127">
        <v>0.55182990598080395</v>
      </c>
      <c r="N35" s="127">
        <v>0</v>
      </c>
      <c r="O35" s="127">
        <v>0</v>
      </c>
      <c r="P35" s="127">
        <v>0</v>
      </c>
      <c r="Q35" s="127">
        <v>82.580504048366905</v>
      </c>
      <c r="R35" s="127">
        <v>13.049996010125501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59.920091531541601</v>
      </c>
      <c r="Y35" s="127">
        <v>0</v>
      </c>
      <c r="Z35" s="127">
        <v>0</v>
      </c>
      <c r="AA35" s="127">
        <v>214.609808137709</v>
      </c>
      <c r="AB35" s="127">
        <v>0</v>
      </c>
      <c r="AC35" s="127">
        <v>0</v>
      </c>
      <c r="AD35" s="127">
        <v>0</v>
      </c>
      <c r="AE35" s="127">
        <v>12.4232112008955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224.47440005234401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8">
        <v>0</v>
      </c>
    </row>
    <row r="36" spans="2:46" ht="12" customHeight="1" x14ac:dyDescent="0.25">
      <c r="B36" s="126" t="s">
        <v>39</v>
      </c>
      <c r="C36" s="127" t="s">
        <v>77</v>
      </c>
      <c r="D36" s="127" t="s">
        <v>40</v>
      </c>
      <c r="E36" s="127" t="s">
        <v>81</v>
      </c>
      <c r="F36" s="127" t="s">
        <v>25</v>
      </c>
      <c r="G36" s="127" t="s">
        <v>36</v>
      </c>
      <c r="H36" s="127" t="s">
        <v>63</v>
      </c>
      <c r="I36" s="127" t="s">
        <v>25</v>
      </c>
      <c r="J36" s="127">
        <v>200.13</v>
      </c>
      <c r="K36" s="127">
        <v>224.47</v>
      </c>
      <c r="L36" s="127">
        <v>0</v>
      </c>
      <c r="M36" s="127">
        <v>0.55182990598080395</v>
      </c>
      <c r="N36" s="127">
        <v>0</v>
      </c>
      <c r="O36" s="127">
        <v>0</v>
      </c>
      <c r="P36" s="127">
        <v>0</v>
      </c>
      <c r="Q36" s="127">
        <v>82.580504048366905</v>
      </c>
      <c r="R36" s="127">
        <v>13.049996010125501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19.9877331703536</v>
      </c>
      <c r="Y36" s="127">
        <v>0</v>
      </c>
      <c r="Z36" s="127">
        <v>0</v>
      </c>
      <c r="AA36" s="127">
        <v>71.536602712569703</v>
      </c>
      <c r="AB36" s="127">
        <v>0</v>
      </c>
      <c r="AC36" s="127">
        <v>0</v>
      </c>
      <c r="AD36" s="127">
        <v>0</v>
      </c>
      <c r="AE36" s="127">
        <v>12.4232112008955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>
        <v>0</v>
      </c>
      <c r="AN36" s="127">
        <v>224.47440005234401</v>
      </c>
      <c r="AO36" s="127">
        <v>0</v>
      </c>
      <c r="AP36" s="127">
        <v>0</v>
      </c>
      <c r="AQ36" s="127">
        <v>0</v>
      </c>
      <c r="AR36" s="127">
        <v>0</v>
      </c>
      <c r="AS36" s="127">
        <v>0</v>
      </c>
      <c r="AT36" s="128">
        <v>0</v>
      </c>
    </row>
    <row r="37" spans="2:46" ht="12" customHeight="1" x14ac:dyDescent="0.25">
      <c r="B37" s="126" t="s">
        <v>39</v>
      </c>
      <c r="C37" s="127" t="s">
        <v>23</v>
      </c>
      <c r="D37" s="127" t="s">
        <v>40</v>
      </c>
      <c r="E37" s="127" t="s">
        <v>80</v>
      </c>
      <c r="F37" s="127" t="s">
        <v>25</v>
      </c>
      <c r="G37" s="127" t="s">
        <v>25</v>
      </c>
      <c r="H37" s="127" t="s">
        <v>63</v>
      </c>
      <c r="I37" s="127" t="s">
        <v>25</v>
      </c>
      <c r="J37" s="127">
        <v>269.45999999999998</v>
      </c>
      <c r="K37" s="127">
        <v>229.35</v>
      </c>
      <c r="L37" s="127">
        <v>0</v>
      </c>
      <c r="M37" s="127">
        <v>0.56382620828473395</v>
      </c>
      <c r="N37" s="127">
        <v>0</v>
      </c>
      <c r="O37" s="127">
        <v>0</v>
      </c>
      <c r="P37" s="127">
        <v>0</v>
      </c>
      <c r="Q37" s="127">
        <v>84.375732397244505</v>
      </c>
      <c r="R37" s="127">
        <v>13.333691575563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34.604774370621598</v>
      </c>
      <c r="Y37" s="127">
        <v>0</v>
      </c>
      <c r="Z37" s="127">
        <v>0</v>
      </c>
      <c r="AA37" s="127">
        <v>123.884272879203</v>
      </c>
      <c r="AB37" s="127">
        <v>0</v>
      </c>
      <c r="AC37" s="127">
        <v>0</v>
      </c>
      <c r="AD37" s="127">
        <v>0</v>
      </c>
      <c r="AE37" s="127">
        <v>12.693281009610599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229.35427831435101</v>
      </c>
      <c r="AO37" s="127">
        <v>0</v>
      </c>
      <c r="AP37" s="127">
        <v>0</v>
      </c>
      <c r="AQ37" s="127">
        <v>0</v>
      </c>
      <c r="AR37" s="127">
        <v>0</v>
      </c>
      <c r="AS37" s="127">
        <v>0</v>
      </c>
      <c r="AT37" s="128">
        <v>0</v>
      </c>
    </row>
    <row r="38" spans="2:46" ht="12" customHeight="1" x14ac:dyDescent="0.25">
      <c r="B38" s="126" t="s">
        <v>39</v>
      </c>
      <c r="C38" s="127" t="s">
        <v>23</v>
      </c>
      <c r="D38" s="127" t="s">
        <v>40</v>
      </c>
      <c r="E38" s="127" t="s">
        <v>25</v>
      </c>
      <c r="F38" s="127" t="s">
        <v>25</v>
      </c>
      <c r="G38" s="127" t="s">
        <v>25</v>
      </c>
      <c r="H38" s="127" t="s">
        <v>63</v>
      </c>
      <c r="I38" s="127" t="s">
        <v>25</v>
      </c>
      <c r="J38" s="127">
        <v>269.45999999999998</v>
      </c>
      <c r="K38" s="127">
        <v>229.35</v>
      </c>
      <c r="L38" s="127">
        <v>0</v>
      </c>
      <c r="M38" s="127">
        <v>0.56382620828473395</v>
      </c>
      <c r="N38" s="127">
        <v>0</v>
      </c>
      <c r="O38" s="127">
        <v>0</v>
      </c>
      <c r="P38" s="127">
        <v>0</v>
      </c>
      <c r="Q38" s="127">
        <v>84.375732397244505</v>
      </c>
      <c r="R38" s="127">
        <v>13.333691575563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34.604774370621598</v>
      </c>
      <c r="Y38" s="127">
        <v>0</v>
      </c>
      <c r="Z38" s="127">
        <v>0</v>
      </c>
      <c r="AA38" s="127">
        <v>123.884272879203</v>
      </c>
      <c r="AB38" s="127">
        <v>0</v>
      </c>
      <c r="AC38" s="127">
        <v>0</v>
      </c>
      <c r="AD38" s="127">
        <v>0</v>
      </c>
      <c r="AE38" s="127">
        <v>12.693281009610599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>
        <v>0</v>
      </c>
      <c r="AN38" s="127">
        <v>229.35427831435101</v>
      </c>
      <c r="AO38" s="127">
        <v>0</v>
      </c>
      <c r="AP38" s="127">
        <v>0</v>
      </c>
      <c r="AQ38" s="127">
        <v>0</v>
      </c>
      <c r="AR38" s="127">
        <v>0</v>
      </c>
      <c r="AS38" s="127">
        <v>0</v>
      </c>
      <c r="AT38" s="128">
        <v>0</v>
      </c>
    </row>
    <row r="39" spans="2:46" ht="12" customHeight="1" x14ac:dyDescent="0.25">
      <c r="B39" s="126" t="s">
        <v>39</v>
      </c>
      <c r="C39" s="127" t="s">
        <v>23</v>
      </c>
      <c r="D39" s="127" t="s">
        <v>40</v>
      </c>
      <c r="E39" s="127" t="s">
        <v>81</v>
      </c>
      <c r="F39" s="127" t="s">
        <v>25</v>
      </c>
      <c r="G39" s="127" t="s">
        <v>25</v>
      </c>
      <c r="H39" s="127" t="s">
        <v>63</v>
      </c>
      <c r="I39" s="127" t="s">
        <v>25</v>
      </c>
      <c r="J39" s="127">
        <v>263.72000000000003</v>
      </c>
      <c r="K39" s="127">
        <v>224.47</v>
      </c>
      <c r="L39" s="127">
        <v>0</v>
      </c>
      <c r="M39" s="127">
        <v>0.55182990598080395</v>
      </c>
      <c r="N39" s="127">
        <v>0</v>
      </c>
      <c r="O39" s="127">
        <v>0</v>
      </c>
      <c r="P39" s="127">
        <v>0</v>
      </c>
      <c r="Q39" s="127">
        <v>82.580504048366905</v>
      </c>
      <c r="R39" s="127">
        <v>13.049996010125501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33.868502575501999</v>
      </c>
      <c r="Y39" s="127">
        <v>0</v>
      </c>
      <c r="Z39" s="127">
        <v>0</v>
      </c>
      <c r="AA39" s="127">
        <v>121.248437286029</v>
      </c>
      <c r="AB39" s="127">
        <v>0</v>
      </c>
      <c r="AC39" s="127">
        <v>0</v>
      </c>
      <c r="AD39" s="127">
        <v>0</v>
      </c>
      <c r="AE39" s="127">
        <v>12.4232112008955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224.47440005234401</v>
      </c>
      <c r="AO39" s="127">
        <v>0</v>
      </c>
      <c r="AP39" s="127">
        <v>0</v>
      </c>
      <c r="AQ39" s="127">
        <v>0</v>
      </c>
      <c r="AR39" s="127">
        <v>0</v>
      </c>
      <c r="AS39" s="127">
        <v>0</v>
      </c>
      <c r="AT39" s="128">
        <v>0</v>
      </c>
    </row>
    <row r="40" spans="2:46" ht="12" customHeight="1" x14ac:dyDescent="0.25">
      <c r="B40" s="126" t="s">
        <v>39</v>
      </c>
      <c r="C40" s="127" t="s">
        <v>79</v>
      </c>
      <c r="D40" s="127" t="s">
        <v>40</v>
      </c>
      <c r="E40" s="127" t="s">
        <v>80</v>
      </c>
      <c r="F40" s="127" t="s">
        <v>25</v>
      </c>
      <c r="G40" s="127" t="s">
        <v>25</v>
      </c>
      <c r="H40" s="127" t="s">
        <v>63</v>
      </c>
      <c r="I40" s="127" t="s">
        <v>25</v>
      </c>
      <c r="J40" s="127">
        <v>269.45999999999998</v>
      </c>
      <c r="K40" s="127">
        <v>229.35</v>
      </c>
      <c r="L40" s="127">
        <v>0</v>
      </c>
      <c r="M40" s="127">
        <v>0.56382620828473395</v>
      </c>
      <c r="N40" s="127">
        <v>0</v>
      </c>
      <c r="O40" s="127">
        <v>0</v>
      </c>
      <c r="P40" s="127">
        <v>0</v>
      </c>
      <c r="Q40" s="127">
        <v>84.375732397244505</v>
      </c>
      <c r="R40" s="127">
        <v>13.333691575563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34.604774370621598</v>
      </c>
      <c r="Y40" s="127">
        <v>0</v>
      </c>
      <c r="Z40" s="127">
        <v>0</v>
      </c>
      <c r="AA40" s="127">
        <v>123.884272879203</v>
      </c>
      <c r="AB40" s="127">
        <v>0</v>
      </c>
      <c r="AC40" s="127">
        <v>0</v>
      </c>
      <c r="AD40" s="127">
        <v>0</v>
      </c>
      <c r="AE40" s="127">
        <v>12.693281009610599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229.35427831435101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8">
        <v>0</v>
      </c>
    </row>
    <row r="41" spans="2:46" ht="12" customHeight="1" x14ac:dyDescent="0.25">
      <c r="B41" s="126" t="s">
        <v>39</v>
      </c>
      <c r="C41" s="127" t="s">
        <v>79</v>
      </c>
      <c r="D41" s="127" t="s">
        <v>40</v>
      </c>
      <c r="E41" s="127" t="s">
        <v>25</v>
      </c>
      <c r="F41" s="127" t="s">
        <v>25</v>
      </c>
      <c r="G41" s="127" t="s">
        <v>25</v>
      </c>
      <c r="H41" s="127" t="s">
        <v>63</v>
      </c>
      <c r="I41" s="127" t="s">
        <v>25</v>
      </c>
      <c r="J41" s="127">
        <v>269.45999999999998</v>
      </c>
      <c r="K41" s="127">
        <v>229.35</v>
      </c>
      <c r="L41" s="127">
        <v>0</v>
      </c>
      <c r="M41" s="127">
        <v>0.56382620828473395</v>
      </c>
      <c r="N41" s="127">
        <v>0</v>
      </c>
      <c r="O41" s="127">
        <v>0</v>
      </c>
      <c r="P41" s="127">
        <v>0</v>
      </c>
      <c r="Q41" s="127">
        <v>84.375732397244505</v>
      </c>
      <c r="R41" s="127">
        <v>13.333691575563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34.604774370621598</v>
      </c>
      <c r="Y41" s="127">
        <v>0</v>
      </c>
      <c r="Z41" s="127">
        <v>0</v>
      </c>
      <c r="AA41" s="127">
        <v>123.884272879203</v>
      </c>
      <c r="AB41" s="127">
        <v>0</v>
      </c>
      <c r="AC41" s="127">
        <v>0</v>
      </c>
      <c r="AD41" s="127">
        <v>0</v>
      </c>
      <c r="AE41" s="127">
        <v>12.693281009610599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229.35427831435101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8">
        <v>0</v>
      </c>
    </row>
    <row r="42" spans="2:46" ht="12" customHeight="1" x14ac:dyDescent="0.25">
      <c r="B42" s="126" t="s">
        <v>39</v>
      </c>
      <c r="C42" s="127" t="s">
        <v>79</v>
      </c>
      <c r="D42" s="127" t="s">
        <v>40</v>
      </c>
      <c r="E42" s="127" t="s">
        <v>81</v>
      </c>
      <c r="F42" s="127" t="s">
        <v>25</v>
      </c>
      <c r="G42" s="127" t="s">
        <v>25</v>
      </c>
      <c r="H42" s="127" t="s">
        <v>63</v>
      </c>
      <c r="I42" s="127" t="s">
        <v>25</v>
      </c>
      <c r="J42" s="127">
        <v>263.72000000000003</v>
      </c>
      <c r="K42" s="127">
        <v>224.47</v>
      </c>
      <c r="L42" s="127">
        <v>0</v>
      </c>
      <c r="M42" s="127">
        <v>0.55182990598080395</v>
      </c>
      <c r="N42" s="127">
        <v>0</v>
      </c>
      <c r="O42" s="127">
        <v>0</v>
      </c>
      <c r="P42" s="127">
        <v>0</v>
      </c>
      <c r="Q42" s="127">
        <v>82.580504048366905</v>
      </c>
      <c r="R42" s="127">
        <v>13.049996010125501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33.868502575501999</v>
      </c>
      <c r="Y42" s="127">
        <v>0</v>
      </c>
      <c r="Z42" s="127">
        <v>0</v>
      </c>
      <c r="AA42" s="127">
        <v>121.248437286029</v>
      </c>
      <c r="AB42" s="127">
        <v>0</v>
      </c>
      <c r="AC42" s="127">
        <v>0</v>
      </c>
      <c r="AD42" s="127">
        <v>0</v>
      </c>
      <c r="AE42" s="127">
        <v>12.4232112008955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224.47440005234401</v>
      </c>
      <c r="AO42" s="127">
        <v>0</v>
      </c>
      <c r="AP42" s="127">
        <v>0</v>
      </c>
      <c r="AQ42" s="127">
        <v>0</v>
      </c>
      <c r="AR42" s="127">
        <v>0</v>
      </c>
      <c r="AS42" s="127">
        <v>0</v>
      </c>
      <c r="AT42" s="128">
        <v>0</v>
      </c>
    </row>
    <row r="43" spans="2:46" ht="12" customHeight="1" x14ac:dyDescent="0.25">
      <c r="B43" s="126" t="s">
        <v>31</v>
      </c>
      <c r="C43" s="127" t="s">
        <v>77</v>
      </c>
      <c r="D43" s="127" t="s">
        <v>25</v>
      </c>
      <c r="E43" s="127" t="s">
        <v>25</v>
      </c>
      <c r="F43" s="127" t="s">
        <v>25</v>
      </c>
      <c r="G43" s="127" t="s">
        <v>35</v>
      </c>
      <c r="H43" s="127" t="s">
        <v>63</v>
      </c>
      <c r="I43" s="127" t="s">
        <v>25</v>
      </c>
      <c r="J43" s="127">
        <v>691.28</v>
      </c>
      <c r="K43" s="127">
        <v>243.99</v>
      </c>
      <c r="L43" s="127">
        <v>0</v>
      </c>
      <c r="M43" s="127">
        <v>0.59981511519652597</v>
      </c>
      <c r="N43" s="127">
        <v>0</v>
      </c>
      <c r="O43" s="127">
        <v>0</v>
      </c>
      <c r="P43" s="127">
        <v>0</v>
      </c>
      <c r="Q43" s="127">
        <v>89.761417443877093</v>
      </c>
      <c r="R43" s="127">
        <v>14.1847782718755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125.138091270647</v>
      </c>
      <c r="Y43" s="127">
        <v>0</v>
      </c>
      <c r="Z43" s="127">
        <v>0</v>
      </c>
      <c r="AA43" s="127">
        <v>448.09209561107099</v>
      </c>
      <c r="AB43" s="127">
        <v>0</v>
      </c>
      <c r="AC43" s="127">
        <v>0</v>
      </c>
      <c r="AD43" s="127">
        <v>0</v>
      </c>
      <c r="AE43" s="127">
        <v>13.503490435755999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243.99391310037399</v>
      </c>
      <c r="AO43" s="127">
        <v>0</v>
      </c>
      <c r="AP43" s="127">
        <v>0</v>
      </c>
      <c r="AQ43" s="127">
        <v>0</v>
      </c>
      <c r="AR43" s="127">
        <v>0</v>
      </c>
      <c r="AS43" s="127">
        <v>0</v>
      </c>
      <c r="AT43" s="128">
        <v>0</v>
      </c>
    </row>
    <row r="44" spans="2:46" ht="12" customHeight="1" x14ac:dyDescent="0.25">
      <c r="B44" s="126" t="s">
        <v>31</v>
      </c>
      <c r="C44" s="127" t="s">
        <v>77</v>
      </c>
      <c r="D44" s="127" t="s">
        <v>25</v>
      </c>
      <c r="E44" s="127" t="s">
        <v>25</v>
      </c>
      <c r="F44" s="127" t="s">
        <v>25</v>
      </c>
      <c r="G44" s="127" t="s">
        <v>470</v>
      </c>
      <c r="H44" s="127" t="s">
        <v>63</v>
      </c>
      <c r="I44" s="127" t="s">
        <v>25</v>
      </c>
      <c r="J44" s="127">
        <v>461.98</v>
      </c>
      <c r="K44" s="127">
        <v>243.99</v>
      </c>
      <c r="L44" s="127">
        <v>0</v>
      </c>
      <c r="M44" s="127">
        <v>0.59981511519652597</v>
      </c>
      <c r="N44" s="127">
        <v>0</v>
      </c>
      <c r="O44" s="127">
        <v>0</v>
      </c>
      <c r="P44" s="127">
        <v>0</v>
      </c>
      <c r="Q44" s="127">
        <v>89.761417443877093</v>
      </c>
      <c r="R44" s="127">
        <v>14.1847782718755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75.079730995756506</v>
      </c>
      <c r="Y44" s="127">
        <v>0</v>
      </c>
      <c r="Z44" s="127">
        <v>0</v>
      </c>
      <c r="AA44" s="127">
        <v>268.85527975234299</v>
      </c>
      <c r="AB44" s="127">
        <v>0</v>
      </c>
      <c r="AC44" s="127">
        <v>0</v>
      </c>
      <c r="AD44" s="127">
        <v>0</v>
      </c>
      <c r="AE44" s="127">
        <v>13.503490435755999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243.99391310037399</v>
      </c>
      <c r="AO44" s="127">
        <v>0</v>
      </c>
      <c r="AP44" s="127">
        <v>0</v>
      </c>
      <c r="AQ44" s="127">
        <v>0</v>
      </c>
      <c r="AR44" s="127">
        <v>0</v>
      </c>
      <c r="AS44" s="127">
        <v>0</v>
      </c>
      <c r="AT44" s="128">
        <v>0</v>
      </c>
    </row>
    <row r="45" spans="2:46" ht="12" customHeight="1" x14ac:dyDescent="0.25">
      <c r="B45" s="126" t="s">
        <v>31</v>
      </c>
      <c r="C45" s="127" t="s">
        <v>77</v>
      </c>
      <c r="D45" s="127" t="s">
        <v>25</v>
      </c>
      <c r="E45" s="127" t="s">
        <v>25</v>
      </c>
      <c r="F45" s="127" t="s">
        <v>25</v>
      </c>
      <c r="G45" s="127" t="s">
        <v>36</v>
      </c>
      <c r="H45" s="127" t="s">
        <v>63</v>
      </c>
      <c r="I45" s="127" t="s">
        <v>25</v>
      </c>
      <c r="J45" s="127">
        <v>232.7</v>
      </c>
      <c r="K45" s="127">
        <v>243.99</v>
      </c>
      <c r="L45" s="127">
        <v>0</v>
      </c>
      <c r="M45" s="127">
        <v>0.59981511519652597</v>
      </c>
      <c r="N45" s="127">
        <v>0</v>
      </c>
      <c r="O45" s="127">
        <v>0</v>
      </c>
      <c r="P45" s="127">
        <v>0</v>
      </c>
      <c r="Q45" s="127">
        <v>89.761417443877093</v>
      </c>
      <c r="R45" s="127">
        <v>14.1847782718755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25.036989554024899</v>
      </c>
      <c r="Y45" s="127">
        <v>0</v>
      </c>
      <c r="Z45" s="127">
        <v>0</v>
      </c>
      <c r="AA45" s="127">
        <v>89.618463893614305</v>
      </c>
      <c r="AB45" s="127">
        <v>0</v>
      </c>
      <c r="AC45" s="127">
        <v>0</v>
      </c>
      <c r="AD45" s="127">
        <v>0</v>
      </c>
      <c r="AE45" s="127">
        <v>13.503490435755999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>
        <v>0</v>
      </c>
      <c r="AN45" s="127">
        <v>243.99391310037399</v>
      </c>
      <c r="AO45" s="127">
        <v>0</v>
      </c>
      <c r="AP45" s="127">
        <v>0</v>
      </c>
      <c r="AQ45" s="127">
        <v>0</v>
      </c>
      <c r="AR45" s="127">
        <v>0</v>
      </c>
      <c r="AS45" s="127">
        <v>0</v>
      </c>
      <c r="AT45" s="128">
        <v>0</v>
      </c>
    </row>
    <row r="46" spans="2:46" ht="12" customHeight="1" x14ac:dyDescent="0.25">
      <c r="B46" s="126" t="s">
        <v>31</v>
      </c>
      <c r="C46" s="127" t="s">
        <v>23</v>
      </c>
      <c r="D46" s="127" t="s">
        <v>25</v>
      </c>
      <c r="E46" s="127" t="s">
        <v>25</v>
      </c>
      <c r="F46" s="127" t="s">
        <v>25</v>
      </c>
      <c r="G46" s="127" t="s">
        <v>25</v>
      </c>
      <c r="H46" s="127" t="s">
        <v>63</v>
      </c>
      <c r="I46" s="127" t="s">
        <v>25</v>
      </c>
      <c r="J46" s="127">
        <v>286.64999999999998</v>
      </c>
      <c r="K46" s="127">
        <v>243.99</v>
      </c>
      <c r="L46" s="127">
        <v>0</v>
      </c>
      <c r="M46" s="127">
        <v>0.59981511519652597</v>
      </c>
      <c r="N46" s="127">
        <v>0</v>
      </c>
      <c r="O46" s="127">
        <v>0</v>
      </c>
      <c r="P46" s="127">
        <v>0</v>
      </c>
      <c r="Q46" s="127">
        <v>89.761417443877093</v>
      </c>
      <c r="R46" s="127">
        <v>14.1847782718755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36.813589755980502</v>
      </c>
      <c r="Y46" s="127">
        <v>0</v>
      </c>
      <c r="Z46" s="127">
        <v>0</v>
      </c>
      <c r="AA46" s="127">
        <v>131.79177965872699</v>
      </c>
      <c r="AB46" s="127">
        <v>0</v>
      </c>
      <c r="AC46" s="127">
        <v>0</v>
      </c>
      <c r="AD46" s="127">
        <v>0</v>
      </c>
      <c r="AE46" s="127">
        <v>13.503490435755999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>
        <v>0</v>
      </c>
      <c r="AN46" s="127">
        <v>243.99391310037399</v>
      </c>
      <c r="AO46" s="127">
        <v>0</v>
      </c>
      <c r="AP46" s="127">
        <v>0</v>
      </c>
      <c r="AQ46" s="127">
        <v>0</v>
      </c>
      <c r="AR46" s="127">
        <v>0</v>
      </c>
      <c r="AS46" s="127">
        <v>0</v>
      </c>
      <c r="AT46" s="128">
        <v>0</v>
      </c>
    </row>
    <row r="47" spans="2:46" ht="12" customHeight="1" x14ac:dyDescent="0.25">
      <c r="B47" s="126" t="s">
        <v>31</v>
      </c>
      <c r="C47" s="127" t="s">
        <v>79</v>
      </c>
      <c r="D47" s="127" t="s">
        <v>25</v>
      </c>
      <c r="E47" s="127" t="s">
        <v>25</v>
      </c>
      <c r="F47" s="127" t="s">
        <v>25</v>
      </c>
      <c r="G47" s="127" t="s">
        <v>25</v>
      </c>
      <c r="H47" s="127" t="s">
        <v>63</v>
      </c>
      <c r="I47" s="127" t="s">
        <v>25</v>
      </c>
      <c r="J47" s="127">
        <v>286.64999999999998</v>
      </c>
      <c r="K47" s="127">
        <v>243.99</v>
      </c>
      <c r="L47" s="127">
        <v>0</v>
      </c>
      <c r="M47" s="127">
        <v>0.59981511519652597</v>
      </c>
      <c r="N47" s="127">
        <v>0</v>
      </c>
      <c r="O47" s="127">
        <v>0</v>
      </c>
      <c r="P47" s="127">
        <v>0</v>
      </c>
      <c r="Q47" s="127">
        <v>89.761417443877093</v>
      </c>
      <c r="R47" s="127">
        <v>14.1847782718755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36.813589755980502</v>
      </c>
      <c r="Y47" s="127">
        <v>0</v>
      </c>
      <c r="Z47" s="127">
        <v>0</v>
      </c>
      <c r="AA47" s="127">
        <v>131.79177965872699</v>
      </c>
      <c r="AB47" s="127">
        <v>0</v>
      </c>
      <c r="AC47" s="127">
        <v>0</v>
      </c>
      <c r="AD47" s="127">
        <v>0</v>
      </c>
      <c r="AE47" s="127">
        <v>13.503490435755999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243.99391310037399</v>
      </c>
      <c r="AO47" s="127">
        <v>0</v>
      </c>
      <c r="AP47" s="127">
        <v>0</v>
      </c>
      <c r="AQ47" s="127">
        <v>0</v>
      </c>
      <c r="AR47" s="127">
        <v>0</v>
      </c>
      <c r="AS47" s="127">
        <v>0</v>
      </c>
      <c r="AT47" s="128">
        <v>0</v>
      </c>
    </row>
    <row r="48" spans="2:46" ht="12" customHeight="1" x14ac:dyDescent="0.25">
      <c r="B48" s="126" t="s">
        <v>42</v>
      </c>
      <c r="C48" s="127" t="s">
        <v>23</v>
      </c>
      <c r="D48" s="127" t="s">
        <v>43</v>
      </c>
      <c r="E48" s="127" t="s">
        <v>82</v>
      </c>
      <c r="F48" s="127" t="s">
        <v>25</v>
      </c>
      <c r="G48" s="127" t="s">
        <v>25</v>
      </c>
      <c r="H48" s="127" t="s">
        <v>63</v>
      </c>
      <c r="I48" s="127" t="s">
        <v>25</v>
      </c>
      <c r="J48" s="127">
        <v>157.66</v>
      </c>
      <c r="K48" s="127">
        <v>134.19999999999999</v>
      </c>
      <c r="L48" s="127">
        <v>0</v>
      </c>
      <c r="M48" s="127">
        <v>0.329898313358089</v>
      </c>
      <c r="N48" s="127">
        <v>0</v>
      </c>
      <c r="O48" s="127">
        <v>0</v>
      </c>
      <c r="P48" s="127">
        <v>0</v>
      </c>
      <c r="Q48" s="127">
        <v>49.368779594132398</v>
      </c>
      <c r="R48" s="127">
        <v>7.8016280495315202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20.247474365789301</v>
      </c>
      <c r="Y48" s="127">
        <v>0</v>
      </c>
      <c r="Z48" s="127">
        <v>0</v>
      </c>
      <c r="AA48" s="127">
        <v>72.485478812299704</v>
      </c>
      <c r="AB48" s="127">
        <v>0</v>
      </c>
      <c r="AC48" s="127">
        <v>0</v>
      </c>
      <c r="AD48" s="127">
        <v>0</v>
      </c>
      <c r="AE48" s="127">
        <v>7.4269197396658004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134.19665220520599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8">
        <v>0</v>
      </c>
    </row>
    <row r="49" spans="2:46" ht="12" customHeight="1" x14ac:dyDescent="0.25">
      <c r="B49" s="129" t="s">
        <v>42</v>
      </c>
      <c r="C49" s="130" t="s">
        <v>23</v>
      </c>
      <c r="D49" s="130" t="s">
        <v>43</v>
      </c>
      <c r="E49" s="130" t="s">
        <v>44</v>
      </c>
      <c r="F49" s="130" t="s">
        <v>25</v>
      </c>
      <c r="G49" s="130" t="s">
        <v>25</v>
      </c>
      <c r="H49" s="130" t="s">
        <v>63</v>
      </c>
      <c r="I49" s="130" t="s">
        <v>25</v>
      </c>
      <c r="J49" s="130">
        <v>171.99</v>
      </c>
      <c r="K49" s="130">
        <v>146.4</v>
      </c>
      <c r="L49" s="130">
        <v>0</v>
      </c>
      <c r="M49" s="130">
        <v>0.35988906911791502</v>
      </c>
      <c r="N49" s="130">
        <v>0</v>
      </c>
      <c r="O49" s="130">
        <v>0</v>
      </c>
      <c r="P49" s="130">
        <v>0</v>
      </c>
      <c r="Q49" s="130">
        <v>53.8568504663263</v>
      </c>
      <c r="R49" s="130">
        <v>8.5108669631253004</v>
      </c>
      <c r="S49" s="130">
        <v>0</v>
      </c>
      <c r="T49" s="130">
        <v>0</v>
      </c>
      <c r="U49" s="130">
        <v>0</v>
      </c>
      <c r="V49" s="130">
        <v>0</v>
      </c>
      <c r="W49" s="130">
        <v>0</v>
      </c>
      <c r="X49" s="130">
        <v>22.088153853588299</v>
      </c>
      <c r="Y49" s="130">
        <v>0</v>
      </c>
      <c r="Z49" s="130">
        <v>0</v>
      </c>
      <c r="AA49" s="130">
        <v>79.075067795235995</v>
      </c>
      <c r="AB49" s="130">
        <v>0</v>
      </c>
      <c r="AC49" s="130">
        <v>0</v>
      </c>
      <c r="AD49" s="130">
        <v>0</v>
      </c>
      <c r="AE49" s="130">
        <v>8.1020942614535993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0">
        <v>0</v>
      </c>
      <c r="AL49" s="130">
        <v>0</v>
      </c>
      <c r="AM49" s="130">
        <v>0</v>
      </c>
      <c r="AN49" s="130">
        <v>146.39634786022401</v>
      </c>
      <c r="AO49" s="130">
        <v>0</v>
      </c>
      <c r="AP49" s="130">
        <v>0</v>
      </c>
      <c r="AQ49" s="130">
        <v>0</v>
      </c>
      <c r="AR49" s="130">
        <v>0</v>
      </c>
      <c r="AS49" s="130">
        <v>0</v>
      </c>
      <c r="AT49" s="131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1815-AA65-4F65-8719-AE7B671BA103}">
  <dimension ref="A1:AX85"/>
  <sheetViews>
    <sheetView showGridLines="0" workbookViewId="0"/>
  </sheetViews>
  <sheetFormatPr defaultRowHeight="11.25" x14ac:dyDescent="0.25"/>
  <cols>
    <col min="1" max="1" width="4.7109375" style="8" bestFit="1" customWidth="1"/>
    <col min="2" max="2" width="8.85546875" style="8" bestFit="1" customWidth="1"/>
    <col min="3" max="3" width="8.7109375" style="8" bestFit="1" customWidth="1"/>
    <col min="4" max="4" width="27.140625" style="8" bestFit="1" customWidth="1"/>
    <col min="5" max="5" width="13.5703125" style="8" bestFit="1" customWidth="1"/>
    <col min="6" max="6" width="25.140625" style="8" bestFit="1" customWidth="1"/>
    <col min="7" max="9" width="10.28515625" style="8" bestFit="1" customWidth="1"/>
    <col min="10" max="10" width="6.85546875" style="8" bestFit="1" customWidth="1"/>
    <col min="11" max="11" width="4.5703125" style="8" bestFit="1" customWidth="1"/>
    <col min="12" max="12" width="4.42578125" style="8" bestFit="1" customWidth="1"/>
    <col min="13" max="13" width="6.7109375" style="8" bestFit="1" customWidth="1"/>
    <col min="14" max="14" width="6.28515625" style="8" bestFit="1" customWidth="1"/>
    <col min="15" max="15" width="11.140625" style="8" bestFit="1" customWidth="1"/>
    <col min="16" max="16" width="10.42578125" style="8" bestFit="1" customWidth="1"/>
    <col min="17" max="16384" width="9.140625" style="8"/>
  </cols>
  <sheetData>
    <row r="1" spans="1:50" ht="11.25" customHeight="1" x14ac:dyDescent="0.25">
      <c r="A1" s="30" t="s">
        <v>471</v>
      </c>
      <c r="B1" s="30" t="s">
        <v>461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462</v>
      </c>
      <c r="K1" s="30" t="s">
        <v>463</v>
      </c>
      <c r="L1" s="30" t="s">
        <v>464</v>
      </c>
      <c r="M1" s="30" t="s">
        <v>465</v>
      </c>
      <c r="N1" s="30" t="s">
        <v>466</v>
      </c>
      <c r="O1" s="30" t="s">
        <v>342</v>
      </c>
      <c r="P1" s="30" t="s">
        <v>328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t="11.25" customHeight="1" x14ac:dyDescent="0.25">
      <c r="A2" s="31">
        <v>1</v>
      </c>
      <c r="B2" s="31" t="s">
        <v>322</v>
      </c>
      <c r="C2" s="31" t="s">
        <v>72</v>
      </c>
      <c r="D2" s="31" t="s">
        <v>71</v>
      </c>
      <c r="E2" s="31" t="s">
        <v>25</v>
      </c>
      <c r="F2" s="31" t="s">
        <v>25</v>
      </c>
      <c r="G2" s="31" t="s">
        <v>74</v>
      </c>
      <c r="H2" s="31" t="s">
        <v>25</v>
      </c>
      <c r="I2" s="31" t="s">
        <v>25</v>
      </c>
      <c r="J2" s="31" t="s">
        <v>467</v>
      </c>
      <c r="K2" s="31" t="s">
        <v>468</v>
      </c>
      <c r="L2" s="31" t="s">
        <v>66</v>
      </c>
      <c r="M2" s="31">
        <v>2021</v>
      </c>
      <c r="N2" s="31">
        <v>0</v>
      </c>
      <c r="O2" s="31">
        <v>7.11</v>
      </c>
      <c r="P2" s="31">
        <v>0</v>
      </c>
    </row>
    <row r="3" spans="1:50" ht="11.25" customHeight="1" x14ac:dyDescent="0.25">
      <c r="A3" s="31">
        <v>2</v>
      </c>
      <c r="B3" s="31" t="s">
        <v>322</v>
      </c>
      <c r="C3" s="31" t="s">
        <v>22</v>
      </c>
      <c r="D3" s="31" t="s">
        <v>79</v>
      </c>
      <c r="E3" s="31" t="s">
        <v>24</v>
      </c>
      <c r="F3" s="31" t="s">
        <v>30</v>
      </c>
      <c r="G3" s="31" t="s">
        <v>25</v>
      </c>
      <c r="H3" s="31" t="s">
        <v>25</v>
      </c>
      <c r="I3" s="31" t="s">
        <v>25</v>
      </c>
      <c r="J3" s="31" t="s">
        <v>469</v>
      </c>
      <c r="K3" s="31" t="s">
        <v>468</v>
      </c>
      <c r="L3" s="31" t="s">
        <v>63</v>
      </c>
      <c r="M3" s="31">
        <v>2021</v>
      </c>
      <c r="N3" s="31">
        <v>0</v>
      </c>
      <c r="O3" s="31">
        <v>157.99</v>
      </c>
      <c r="P3" s="31">
        <v>0</v>
      </c>
    </row>
    <row r="4" spans="1:50" ht="11.25" customHeight="1" x14ac:dyDescent="0.25">
      <c r="A4" s="31">
        <v>3</v>
      </c>
      <c r="B4" s="31" t="s">
        <v>322</v>
      </c>
      <c r="C4" s="31" t="s">
        <v>33</v>
      </c>
      <c r="D4" s="31" t="s">
        <v>34</v>
      </c>
      <c r="E4" s="31" t="s">
        <v>25</v>
      </c>
      <c r="F4" s="31" t="s">
        <v>25</v>
      </c>
      <c r="G4" s="31" t="s">
        <v>70</v>
      </c>
      <c r="H4" s="31" t="s">
        <v>25</v>
      </c>
      <c r="I4" s="31" t="s">
        <v>25</v>
      </c>
      <c r="J4" s="31" t="s">
        <v>469</v>
      </c>
      <c r="K4" s="31" t="s">
        <v>468</v>
      </c>
      <c r="L4" s="31" t="s">
        <v>63</v>
      </c>
      <c r="M4" s="31">
        <v>2021</v>
      </c>
      <c r="N4" s="31">
        <v>0</v>
      </c>
      <c r="O4" s="31">
        <v>0.9</v>
      </c>
      <c r="P4" s="31">
        <v>0</v>
      </c>
    </row>
    <row r="5" spans="1:50" ht="11.25" customHeight="1" x14ac:dyDescent="0.25">
      <c r="A5" s="31">
        <v>4</v>
      </c>
      <c r="B5" s="31" t="s">
        <v>322</v>
      </c>
      <c r="C5" s="31" t="s">
        <v>22</v>
      </c>
      <c r="D5" s="31" t="s">
        <v>23</v>
      </c>
      <c r="E5" s="31" t="s">
        <v>24</v>
      </c>
      <c r="F5" s="31" t="s">
        <v>27</v>
      </c>
      <c r="G5" s="31" t="s">
        <v>25</v>
      </c>
      <c r="H5" s="31" t="s">
        <v>25</v>
      </c>
      <c r="I5" s="31" t="s">
        <v>25</v>
      </c>
      <c r="J5" s="31" t="s">
        <v>469</v>
      </c>
      <c r="K5" s="31" t="s">
        <v>468</v>
      </c>
      <c r="L5" s="31" t="s">
        <v>63</v>
      </c>
      <c r="M5" s="31">
        <v>2021</v>
      </c>
      <c r="N5" s="31">
        <v>0</v>
      </c>
      <c r="O5" s="31">
        <v>55.3</v>
      </c>
      <c r="P5" s="31">
        <v>0</v>
      </c>
    </row>
    <row r="6" spans="1:50" ht="11.25" customHeight="1" x14ac:dyDescent="0.25">
      <c r="A6" s="31">
        <v>5</v>
      </c>
      <c r="B6" s="31" t="s">
        <v>322</v>
      </c>
      <c r="C6" s="31" t="s">
        <v>72</v>
      </c>
      <c r="D6" s="31" t="s">
        <v>71</v>
      </c>
      <c r="E6" s="31" t="s">
        <v>25</v>
      </c>
      <c r="F6" s="31" t="s">
        <v>25</v>
      </c>
      <c r="G6" s="31" t="s">
        <v>73</v>
      </c>
      <c r="H6" s="31" t="s">
        <v>25</v>
      </c>
      <c r="I6" s="31" t="s">
        <v>25</v>
      </c>
      <c r="J6" s="31" t="s">
        <v>467</v>
      </c>
      <c r="K6" s="31" t="s">
        <v>468</v>
      </c>
      <c r="L6" s="31" t="s">
        <v>66</v>
      </c>
      <c r="M6" s="31">
        <v>2021</v>
      </c>
      <c r="N6" s="31">
        <v>0</v>
      </c>
      <c r="O6" s="31">
        <v>3.5</v>
      </c>
      <c r="P6" s="31">
        <v>0</v>
      </c>
    </row>
    <row r="7" spans="1:50" ht="11.25" customHeight="1" x14ac:dyDescent="0.25">
      <c r="A7" s="31">
        <v>6</v>
      </c>
      <c r="B7" s="31" t="s">
        <v>322</v>
      </c>
      <c r="C7" s="31" t="s">
        <v>22</v>
      </c>
      <c r="D7" s="31" t="s">
        <v>79</v>
      </c>
      <c r="E7" s="31" t="s">
        <v>24</v>
      </c>
      <c r="F7" s="31" t="s">
        <v>29</v>
      </c>
      <c r="G7" s="31" t="s">
        <v>25</v>
      </c>
      <c r="H7" s="31" t="s">
        <v>25</v>
      </c>
      <c r="I7" s="31" t="s">
        <v>25</v>
      </c>
      <c r="J7" s="31" t="s">
        <v>469</v>
      </c>
      <c r="K7" s="31" t="s">
        <v>468</v>
      </c>
      <c r="L7" s="31" t="s">
        <v>63</v>
      </c>
      <c r="M7" s="31">
        <v>2021</v>
      </c>
      <c r="N7" s="31">
        <v>0</v>
      </c>
      <c r="O7" s="31">
        <v>142.19</v>
      </c>
      <c r="P7" s="31">
        <v>0</v>
      </c>
    </row>
    <row r="8" spans="1:50" ht="11.25" customHeight="1" x14ac:dyDescent="0.25">
      <c r="A8" s="31">
        <v>7</v>
      </c>
      <c r="B8" s="31" t="s">
        <v>322</v>
      </c>
      <c r="C8" s="31" t="s">
        <v>33</v>
      </c>
      <c r="D8" s="31" t="s">
        <v>34</v>
      </c>
      <c r="E8" s="31" t="s">
        <v>25</v>
      </c>
      <c r="F8" s="31" t="s">
        <v>25</v>
      </c>
      <c r="G8" s="31" t="s">
        <v>25</v>
      </c>
      <c r="H8" s="31" t="s">
        <v>25</v>
      </c>
      <c r="I8" s="31" t="s">
        <v>35</v>
      </c>
      <c r="J8" s="31" t="s">
        <v>467</v>
      </c>
      <c r="K8" s="31" t="s">
        <v>468</v>
      </c>
      <c r="L8" s="31" t="s">
        <v>66</v>
      </c>
      <c r="M8" s="31">
        <v>2021</v>
      </c>
      <c r="N8" s="31">
        <v>0</v>
      </c>
      <c r="O8" s="31">
        <v>40.4</v>
      </c>
      <c r="P8" s="31">
        <v>0</v>
      </c>
    </row>
    <row r="9" spans="1:50" ht="11.25" customHeight="1" x14ac:dyDescent="0.25">
      <c r="A9" s="31">
        <v>8</v>
      </c>
      <c r="B9" s="31" t="s">
        <v>322</v>
      </c>
      <c r="C9" s="31" t="s">
        <v>22</v>
      </c>
      <c r="D9" s="31" t="s">
        <v>77</v>
      </c>
      <c r="E9" s="31" t="s">
        <v>24</v>
      </c>
      <c r="F9" s="31" t="s">
        <v>24</v>
      </c>
      <c r="G9" s="31" t="s">
        <v>25</v>
      </c>
      <c r="H9" s="31" t="s">
        <v>25</v>
      </c>
      <c r="I9" s="31" t="s">
        <v>470</v>
      </c>
      <c r="J9" s="31" t="s">
        <v>469</v>
      </c>
      <c r="K9" s="31" t="s">
        <v>468</v>
      </c>
      <c r="L9" s="31" t="s">
        <v>63</v>
      </c>
      <c r="M9" s="31">
        <v>2021</v>
      </c>
      <c r="N9" s="31">
        <v>0</v>
      </c>
      <c r="O9" s="31">
        <v>319.08</v>
      </c>
      <c r="P9" s="31">
        <v>55.656616620778699</v>
      </c>
    </row>
    <row r="10" spans="1:50" ht="11.25" customHeight="1" x14ac:dyDescent="0.25">
      <c r="A10" s="31">
        <v>9</v>
      </c>
      <c r="B10" s="31" t="s">
        <v>322</v>
      </c>
      <c r="C10" s="31" t="s">
        <v>22</v>
      </c>
      <c r="D10" s="31" t="s">
        <v>77</v>
      </c>
      <c r="E10" s="31" t="s">
        <v>24</v>
      </c>
      <c r="F10" s="31" t="s">
        <v>24</v>
      </c>
      <c r="G10" s="31" t="s">
        <v>25</v>
      </c>
      <c r="H10" s="31" t="s">
        <v>25</v>
      </c>
      <c r="I10" s="31" t="s">
        <v>35</v>
      </c>
      <c r="J10" s="31" t="s">
        <v>469</v>
      </c>
      <c r="K10" s="31" t="s">
        <v>468</v>
      </c>
      <c r="L10" s="31" t="s">
        <v>63</v>
      </c>
      <c r="M10" s="31">
        <v>2021</v>
      </c>
      <c r="N10" s="31">
        <v>0</v>
      </c>
      <c r="O10" s="31">
        <v>487.46</v>
      </c>
      <c r="P10" s="31">
        <v>55.656616620778699</v>
      </c>
    </row>
    <row r="11" spans="1:50" ht="11.25" customHeight="1" x14ac:dyDescent="0.25">
      <c r="A11" s="31">
        <v>10</v>
      </c>
      <c r="B11" s="31" t="s">
        <v>322</v>
      </c>
      <c r="C11" s="31" t="s">
        <v>39</v>
      </c>
      <c r="D11" s="31" t="s">
        <v>77</v>
      </c>
      <c r="E11" s="31" t="s">
        <v>40</v>
      </c>
      <c r="F11" s="31" t="s">
        <v>25</v>
      </c>
      <c r="G11" s="31" t="s">
        <v>25</v>
      </c>
      <c r="H11" s="31" t="s">
        <v>25</v>
      </c>
      <c r="I11" s="31" t="s">
        <v>35</v>
      </c>
      <c r="J11" s="31" t="s">
        <v>469</v>
      </c>
      <c r="K11" s="31" t="s">
        <v>468</v>
      </c>
      <c r="L11" s="31" t="s">
        <v>63</v>
      </c>
      <c r="M11" s="31">
        <v>2021</v>
      </c>
      <c r="N11" s="31">
        <v>0</v>
      </c>
      <c r="O11" s="31">
        <v>463.24</v>
      </c>
      <c r="P11" s="31">
        <v>48.977822626285203</v>
      </c>
    </row>
    <row r="12" spans="1:50" ht="11.25" customHeight="1" x14ac:dyDescent="0.25">
      <c r="A12" s="31">
        <v>11</v>
      </c>
      <c r="B12" s="31" t="s">
        <v>322</v>
      </c>
      <c r="C12" s="31" t="s">
        <v>39</v>
      </c>
      <c r="D12" s="31" t="s">
        <v>77</v>
      </c>
      <c r="E12" s="31" t="s">
        <v>40</v>
      </c>
      <c r="F12" s="31" t="s">
        <v>25</v>
      </c>
      <c r="G12" s="31" t="s">
        <v>25</v>
      </c>
      <c r="H12" s="31" t="s">
        <v>25</v>
      </c>
      <c r="I12" s="31" t="s">
        <v>470</v>
      </c>
      <c r="J12" s="31" t="s">
        <v>469</v>
      </c>
      <c r="K12" s="31" t="s">
        <v>468</v>
      </c>
      <c r="L12" s="31" t="s">
        <v>63</v>
      </c>
      <c r="M12" s="31">
        <v>2021</v>
      </c>
      <c r="N12" s="31">
        <v>0</v>
      </c>
      <c r="O12" s="31">
        <v>301.35000000000002</v>
      </c>
      <c r="P12" s="31">
        <v>48.977822626285203</v>
      </c>
    </row>
    <row r="13" spans="1:50" ht="11.25" customHeight="1" x14ac:dyDescent="0.25">
      <c r="A13" s="31">
        <v>12</v>
      </c>
      <c r="B13" s="31" t="s">
        <v>322</v>
      </c>
      <c r="C13" s="31" t="s">
        <v>33</v>
      </c>
      <c r="D13" s="31" t="s">
        <v>37</v>
      </c>
      <c r="E13" s="31" t="s">
        <v>25</v>
      </c>
      <c r="F13" s="31" t="s">
        <v>25</v>
      </c>
      <c r="G13" s="31" t="s">
        <v>70</v>
      </c>
      <c r="H13" s="31" t="s">
        <v>25</v>
      </c>
      <c r="I13" s="31" t="s">
        <v>35</v>
      </c>
      <c r="J13" s="31" t="s">
        <v>469</v>
      </c>
      <c r="K13" s="31" t="s">
        <v>468</v>
      </c>
      <c r="L13" s="31" t="s">
        <v>63</v>
      </c>
      <c r="M13" s="31">
        <v>2021</v>
      </c>
      <c r="N13" s="31">
        <v>0</v>
      </c>
      <c r="O13" s="31">
        <v>973.01</v>
      </c>
      <c r="P13" s="31">
        <v>0</v>
      </c>
    </row>
    <row r="14" spans="1:50" ht="11.25" customHeight="1" x14ac:dyDescent="0.25">
      <c r="A14" s="31">
        <v>13</v>
      </c>
      <c r="B14" s="31" t="s">
        <v>322</v>
      </c>
      <c r="C14" s="31" t="s">
        <v>22</v>
      </c>
      <c r="D14" s="31" t="s">
        <v>79</v>
      </c>
      <c r="E14" s="31" t="s">
        <v>24</v>
      </c>
      <c r="F14" s="31" t="s">
        <v>28</v>
      </c>
      <c r="G14" s="31" t="s">
        <v>25</v>
      </c>
      <c r="H14" s="31" t="s">
        <v>25</v>
      </c>
      <c r="I14" s="31" t="s">
        <v>25</v>
      </c>
      <c r="J14" s="31" t="s">
        <v>469</v>
      </c>
      <c r="K14" s="31" t="s">
        <v>468</v>
      </c>
      <c r="L14" s="31" t="s">
        <v>63</v>
      </c>
      <c r="M14" s="31">
        <v>2021</v>
      </c>
      <c r="N14" s="31">
        <v>0</v>
      </c>
      <c r="O14" s="31">
        <v>94.79</v>
      </c>
      <c r="P14" s="31">
        <v>0</v>
      </c>
    </row>
    <row r="15" spans="1:50" ht="11.25" customHeight="1" x14ac:dyDescent="0.25">
      <c r="A15" s="31">
        <v>14</v>
      </c>
      <c r="B15" s="31" t="s">
        <v>322</v>
      </c>
      <c r="C15" s="31" t="s">
        <v>33</v>
      </c>
      <c r="D15" s="31" t="s">
        <v>37</v>
      </c>
      <c r="E15" s="31" t="s">
        <v>25</v>
      </c>
      <c r="F15" s="31" t="s">
        <v>25</v>
      </c>
      <c r="G15" s="31" t="s">
        <v>25</v>
      </c>
      <c r="H15" s="31" t="s">
        <v>25</v>
      </c>
      <c r="I15" s="31" t="s">
        <v>25</v>
      </c>
      <c r="J15" s="31" t="s">
        <v>467</v>
      </c>
      <c r="K15" s="31" t="s">
        <v>468</v>
      </c>
      <c r="L15" s="31" t="s">
        <v>66</v>
      </c>
      <c r="M15" s="31">
        <v>2021</v>
      </c>
      <c r="N15" s="31">
        <v>0</v>
      </c>
      <c r="O15" s="31">
        <v>13.01</v>
      </c>
      <c r="P15" s="31">
        <v>0</v>
      </c>
    </row>
    <row r="16" spans="1:50" ht="11.25" customHeight="1" x14ac:dyDescent="0.25">
      <c r="A16" s="31">
        <v>15</v>
      </c>
      <c r="B16" s="31" t="s">
        <v>322</v>
      </c>
      <c r="C16" s="31" t="s">
        <v>22</v>
      </c>
      <c r="D16" s="31" t="s">
        <v>23</v>
      </c>
      <c r="E16" s="31" t="s">
        <v>24</v>
      </c>
      <c r="F16" s="31" t="s">
        <v>29</v>
      </c>
      <c r="G16" s="31" t="s">
        <v>25</v>
      </c>
      <c r="H16" s="31" t="s">
        <v>25</v>
      </c>
      <c r="I16" s="31" t="s">
        <v>25</v>
      </c>
      <c r="J16" s="31" t="s">
        <v>469</v>
      </c>
      <c r="K16" s="31" t="s">
        <v>468</v>
      </c>
      <c r="L16" s="31" t="s">
        <v>63</v>
      </c>
      <c r="M16" s="31">
        <v>2021</v>
      </c>
      <c r="N16" s="31">
        <v>0</v>
      </c>
      <c r="O16" s="31">
        <v>142.19</v>
      </c>
      <c r="P16" s="31">
        <v>0</v>
      </c>
    </row>
    <row r="17" spans="1:16" ht="11.25" customHeight="1" x14ac:dyDescent="0.25">
      <c r="A17" s="31">
        <v>16</v>
      </c>
      <c r="B17" s="31" t="s">
        <v>322</v>
      </c>
      <c r="C17" s="31" t="s">
        <v>33</v>
      </c>
      <c r="D17" s="31" t="s">
        <v>34</v>
      </c>
      <c r="E17" s="31" t="s">
        <v>25</v>
      </c>
      <c r="F17" s="31" t="s">
        <v>25</v>
      </c>
      <c r="G17" s="31" t="s">
        <v>25</v>
      </c>
      <c r="H17" s="31" t="s">
        <v>25</v>
      </c>
      <c r="I17" s="31" t="s">
        <v>25</v>
      </c>
      <c r="J17" s="31" t="s">
        <v>469</v>
      </c>
      <c r="K17" s="31" t="s">
        <v>468</v>
      </c>
      <c r="L17" s="31" t="s">
        <v>63</v>
      </c>
      <c r="M17" s="31">
        <v>2021</v>
      </c>
      <c r="N17" s="31">
        <v>0</v>
      </c>
      <c r="O17" s="31">
        <v>58.05</v>
      </c>
      <c r="P17" s="31">
        <v>48.421256460077501</v>
      </c>
    </row>
    <row r="18" spans="1:16" ht="11.25" customHeight="1" x14ac:dyDescent="0.25">
      <c r="A18" s="31">
        <v>17</v>
      </c>
      <c r="B18" s="31" t="s">
        <v>322</v>
      </c>
      <c r="C18" s="31" t="s">
        <v>22</v>
      </c>
      <c r="D18" s="31" t="s">
        <v>23</v>
      </c>
      <c r="E18" s="31" t="s">
        <v>24</v>
      </c>
      <c r="F18" s="31" t="s">
        <v>24</v>
      </c>
      <c r="G18" s="31" t="s">
        <v>25</v>
      </c>
      <c r="H18" s="31" t="s">
        <v>25</v>
      </c>
      <c r="I18" s="31" t="s">
        <v>25</v>
      </c>
      <c r="J18" s="31" t="s">
        <v>469</v>
      </c>
      <c r="K18" s="31" t="s">
        <v>468</v>
      </c>
      <c r="L18" s="31" t="s">
        <v>63</v>
      </c>
      <c r="M18" s="31">
        <v>2021</v>
      </c>
      <c r="N18" s="31">
        <v>0</v>
      </c>
      <c r="O18" s="31">
        <v>222.38</v>
      </c>
      <c r="P18" s="31">
        <v>55.656616620778699</v>
      </c>
    </row>
    <row r="19" spans="1:16" ht="11.25" customHeight="1" x14ac:dyDescent="0.25">
      <c r="A19" s="31">
        <v>18</v>
      </c>
      <c r="B19" s="31" t="s">
        <v>322</v>
      </c>
      <c r="C19" s="31" t="s">
        <v>22</v>
      </c>
      <c r="D19" s="31" t="s">
        <v>79</v>
      </c>
      <c r="E19" s="31" t="s">
        <v>24</v>
      </c>
      <c r="F19" s="31" t="s">
        <v>27</v>
      </c>
      <c r="G19" s="31" t="s">
        <v>25</v>
      </c>
      <c r="H19" s="31" t="s">
        <v>25</v>
      </c>
      <c r="I19" s="31" t="s">
        <v>25</v>
      </c>
      <c r="J19" s="31" t="s">
        <v>469</v>
      </c>
      <c r="K19" s="31" t="s">
        <v>468</v>
      </c>
      <c r="L19" s="31" t="s">
        <v>63</v>
      </c>
      <c r="M19" s="31">
        <v>2021</v>
      </c>
      <c r="N19" s="31">
        <v>0</v>
      </c>
      <c r="O19" s="31">
        <v>55.3</v>
      </c>
      <c r="P19" s="31">
        <v>0</v>
      </c>
    </row>
    <row r="20" spans="1:16" ht="11.25" customHeight="1" x14ac:dyDescent="0.25">
      <c r="A20" s="31">
        <v>19</v>
      </c>
      <c r="B20" s="31" t="s">
        <v>322</v>
      </c>
      <c r="C20" s="31" t="s">
        <v>39</v>
      </c>
      <c r="D20" s="31" t="s">
        <v>79</v>
      </c>
      <c r="E20" s="31" t="s">
        <v>40</v>
      </c>
      <c r="F20" s="31" t="s">
        <v>25</v>
      </c>
      <c r="G20" s="31" t="s">
        <v>25</v>
      </c>
      <c r="H20" s="31" t="s">
        <v>25</v>
      </c>
      <c r="I20" s="31" t="s">
        <v>25</v>
      </c>
      <c r="J20" s="31" t="s">
        <v>469</v>
      </c>
      <c r="K20" s="31" t="s">
        <v>468</v>
      </c>
      <c r="L20" s="31" t="s">
        <v>63</v>
      </c>
      <c r="M20" s="31">
        <v>2021</v>
      </c>
      <c r="N20" s="31">
        <v>0</v>
      </c>
      <c r="O20" s="31">
        <v>195.69</v>
      </c>
      <c r="P20" s="31">
        <v>48.977822626285203</v>
      </c>
    </row>
    <row r="21" spans="1:16" ht="11.25" customHeight="1" x14ac:dyDescent="0.25">
      <c r="A21" s="31">
        <v>20</v>
      </c>
      <c r="B21" s="31" t="s">
        <v>350</v>
      </c>
      <c r="C21" s="31" t="s">
        <v>22</v>
      </c>
      <c r="D21" s="31" t="s">
        <v>62</v>
      </c>
      <c r="E21" s="31" t="s">
        <v>24</v>
      </c>
      <c r="F21" s="31" t="s">
        <v>24</v>
      </c>
      <c r="G21" s="31" t="s">
        <v>25</v>
      </c>
      <c r="H21" s="31" t="s">
        <v>25</v>
      </c>
      <c r="I21" s="31" t="s">
        <v>36</v>
      </c>
      <c r="J21" s="31" t="s">
        <v>469</v>
      </c>
      <c r="K21" s="31" t="s">
        <v>468</v>
      </c>
      <c r="L21" s="31" t="s">
        <v>63</v>
      </c>
      <c r="M21" s="31">
        <v>2021</v>
      </c>
      <c r="N21" s="31">
        <v>0</v>
      </c>
      <c r="O21" s="31">
        <v>241.37</v>
      </c>
      <c r="P21" s="31"/>
    </row>
    <row r="22" spans="1:16" ht="11.25" customHeight="1" x14ac:dyDescent="0.25">
      <c r="A22" s="31">
        <v>21</v>
      </c>
      <c r="B22" s="31" t="s">
        <v>322</v>
      </c>
      <c r="C22" s="31" t="s">
        <v>33</v>
      </c>
      <c r="D22" s="31" t="s">
        <v>37</v>
      </c>
      <c r="E22" s="31" t="s">
        <v>25</v>
      </c>
      <c r="F22" s="31" t="s">
        <v>25</v>
      </c>
      <c r="G22" s="31" t="s">
        <v>25</v>
      </c>
      <c r="H22" s="31" t="s">
        <v>25</v>
      </c>
      <c r="I22" s="31" t="s">
        <v>36</v>
      </c>
      <c r="J22" s="31" t="s">
        <v>469</v>
      </c>
      <c r="K22" s="31" t="s">
        <v>468</v>
      </c>
      <c r="L22" s="31" t="s">
        <v>63</v>
      </c>
      <c r="M22" s="31">
        <v>2021</v>
      </c>
      <c r="N22" s="31">
        <v>0</v>
      </c>
      <c r="O22" s="31">
        <v>58.05</v>
      </c>
      <c r="P22" s="31">
        <v>48.421256460077501</v>
      </c>
    </row>
    <row r="23" spans="1:16" ht="11.25" customHeight="1" x14ac:dyDescent="0.25">
      <c r="A23" s="31">
        <v>22</v>
      </c>
      <c r="B23" s="31" t="s">
        <v>322</v>
      </c>
      <c r="C23" s="31" t="s">
        <v>22</v>
      </c>
      <c r="D23" s="31" t="s">
        <v>79</v>
      </c>
      <c r="E23" s="31" t="s">
        <v>24</v>
      </c>
      <c r="F23" s="31" t="s">
        <v>24</v>
      </c>
      <c r="G23" s="31" t="s">
        <v>25</v>
      </c>
      <c r="H23" s="31" t="s">
        <v>25</v>
      </c>
      <c r="I23" s="31" t="s">
        <v>25</v>
      </c>
      <c r="J23" s="31" t="s">
        <v>469</v>
      </c>
      <c r="K23" s="31" t="s">
        <v>468</v>
      </c>
      <c r="L23" s="31" t="s">
        <v>63</v>
      </c>
      <c r="M23" s="31">
        <v>2021</v>
      </c>
      <c r="N23" s="31">
        <v>0</v>
      </c>
      <c r="O23" s="31">
        <v>222.38</v>
      </c>
      <c r="P23" s="31">
        <v>55.656616620778699</v>
      </c>
    </row>
    <row r="24" spans="1:16" ht="11.25" customHeight="1" x14ac:dyDescent="0.25">
      <c r="A24" s="31">
        <v>23</v>
      </c>
      <c r="B24" s="31" t="s">
        <v>322</v>
      </c>
      <c r="C24" s="31" t="s">
        <v>22</v>
      </c>
      <c r="D24" s="31" t="s">
        <v>23</v>
      </c>
      <c r="E24" s="31" t="s">
        <v>24</v>
      </c>
      <c r="F24" s="31" t="s">
        <v>30</v>
      </c>
      <c r="G24" s="31" t="s">
        <v>25</v>
      </c>
      <c r="H24" s="31" t="s">
        <v>25</v>
      </c>
      <c r="I24" s="31" t="s">
        <v>25</v>
      </c>
      <c r="J24" s="31" t="s">
        <v>469</v>
      </c>
      <c r="K24" s="31" t="s">
        <v>468</v>
      </c>
      <c r="L24" s="31" t="s">
        <v>63</v>
      </c>
      <c r="M24" s="31">
        <v>2021</v>
      </c>
      <c r="N24" s="31">
        <v>0</v>
      </c>
      <c r="O24" s="31">
        <v>157.99</v>
      </c>
      <c r="P24" s="31">
        <v>0</v>
      </c>
    </row>
    <row r="25" spans="1:16" ht="11.25" customHeight="1" x14ac:dyDescent="0.25">
      <c r="A25" s="31">
        <v>24</v>
      </c>
      <c r="B25" s="31" t="s">
        <v>322</v>
      </c>
      <c r="C25" s="31" t="s">
        <v>22</v>
      </c>
      <c r="D25" s="31" t="s">
        <v>77</v>
      </c>
      <c r="E25" s="31" t="s">
        <v>24</v>
      </c>
      <c r="F25" s="31" t="s">
        <v>24</v>
      </c>
      <c r="G25" s="31" t="s">
        <v>25</v>
      </c>
      <c r="H25" s="31" t="s">
        <v>25</v>
      </c>
      <c r="I25" s="31" t="s">
        <v>36</v>
      </c>
      <c r="J25" s="31" t="s">
        <v>469</v>
      </c>
      <c r="K25" s="31" t="s">
        <v>468</v>
      </c>
      <c r="L25" s="31" t="s">
        <v>63</v>
      </c>
      <c r="M25" s="31">
        <v>2021</v>
      </c>
      <c r="N25" s="31">
        <v>0</v>
      </c>
      <c r="O25" s="31">
        <v>150.69999999999999</v>
      </c>
      <c r="P25" s="31">
        <v>55.656616620778699</v>
      </c>
    </row>
    <row r="26" spans="1:16" ht="11.25" customHeight="1" x14ac:dyDescent="0.25">
      <c r="A26" s="31">
        <v>25</v>
      </c>
      <c r="B26" s="31" t="s">
        <v>322</v>
      </c>
      <c r="C26" s="31" t="s">
        <v>33</v>
      </c>
      <c r="D26" s="31" t="s">
        <v>71</v>
      </c>
      <c r="E26" s="31" t="s">
        <v>25</v>
      </c>
      <c r="F26" s="31" t="s">
        <v>25</v>
      </c>
      <c r="G26" s="31" t="s">
        <v>25</v>
      </c>
      <c r="H26" s="31" t="s">
        <v>25</v>
      </c>
      <c r="I26" s="31" t="s">
        <v>25</v>
      </c>
      <c r="J26" s="31" t="s">
        <v>467</v>
      </c>
      <c r="K26" s="31" t="s">
        <v>468</v>
      </c>
      <c r="L26" s="31" t="s">
        <v>66</v>
      </c>
      <c r="M26" s="31">
        <v>2021</v>
      </c>
      <c r="N26" s="31">
        <v>0</v>
      </c>
      <c r="O26" s="31">
        <v>3.39</v>
      </c>
      <c r="P26" s="31">
        <v>0</v>
      </c>
    </row>
    <row r="27" spans="1:16" ht="11.25" customHeight="1" x14ac:dyDescent="0.25">
      <c r="A27" s="31">
        <v>26</v>
      </c>
      <c r="B27" s="31" t="s">
        <v>322</v>
      </c>
      <c r="C27" s="31" t="s">
        <v>22</v>
      </c>
      <c r="D27" s="31" t="s">
        <v>23</v>
      </c>
      <c r="E27" s="31" t="s">
        <v>24</v>
      </c>
      <c r="F27" s="31" t="s">
        <v>28</v>
      </c>
      <c r="G27" s="31" t="s">
        <v>25</v>
      </c>
      <c r="H27" s="31" t="s">
        <v>25</v>
      </c>
      <c r="I27" s="31" t="s">
        <v>25</v>
      </c>
      <c r="J27" s="31" t="s">
        <v>469</v>
      </c>
      <c r="K27" s="31" t="s">
        <v>468</v>
      </c>
      <c r="L27" s="31" t="s">
        <v>63</v>
      </c>
      <c r="M27" s="31">
        <v>2021</v>
      </c>
      <c r="N27" s="31">
        <v>0</v>
      </c>
      <c r="O27" s="31">
        <v>94.79</v>
      </c>
      <c r="P27" s="31">
        <v>0</v>
      </c>
    </row>
    <row r="28" spans="1:16" ht="11.25" customHeight="1" x14ac:dyDescent="0.25">
      <c r="A28" s="31">
        <v>27</v>
      </c>
      <c r="B28" s="31" t="s">
        <v>322</v>
      </c>
      <c r="C28" s="31" t="s">
        <v>33</v>
      </c>
      <c r="D28" s="31" t="s">
        <v>34</v>
      </c>
      <c r="E28" s="31" t="s">
        <v>25</v>
      </c>
      <c r="F28" s="31" t="s">
        <v>25</v>
      </c>
      <c r="G28" s="31" t="s">
        <v>25</v>
      </c>
      <c r="H28" s="31" t="s">
        <v>25</v>
      </c>
      <c r="I28" s="31" t="s">
        <v>36</v>
      </c>
      <c r="J28" s="31" t="s">
        <v>467</v>
      </c>
      <c r="K28" s="31" t="s">
        <v>468</v>
      </c>
      <c r="L28" s="31" t="s">
        <v>66</v>
      </c>
      <c r="M28" s="31">
        <v>2021</v>
      </c>
      <c r="N28" s="31">
        <v>0</v>
      </c>
      <c r="O28" s="31">
        <v>13.01</v>
      </c>
      <c r="P28" s="31">
        <v>0</v>
      </c>
    </row>
    <row r="29" spans="1:16" ht="11.25" customHeight="1" x14ac:dyDescent="0.25">
      <c r="A29" s="31">
        <v>28</v>
      </c>
      <c r="B29" s="31" t="s">
        <v>322</v>
      </c>
      <c r="C29" s="31" t="s">
        <v>33</v>
      </c>
      <c r="D29" s="31" t="s">
        <v>37</v>
      </c>
      <c r="E29" s="31" t="s">
        <v>25</v>
      </c>
      <c r="F29" s="31" t="s">
        <v>25</v>
      </c>
      <c r="G29" s="31" t="s">
        <v>25</v>
      </c>
      <c r="H29" s="31" t="s">
        <v>25</v>
      </c>
      <c r="I29" s="31" t="s">
        <v>35</v>
      </c>
      <c r="J29" s="31" t="s">
        <v>469</v>
      </c>
      <c r="K29" s="31" t="s">
        <v>468</v>
      </c>
      <c r="L29" s="31" t="s">
        <v>63</v>
      </c>
      <c r="M29" s="31">
        <v>2021</v>
      </c>
      <c r="N29" s="31">
        <v>0</v>
      </c>
      <c r="O29" s="31">
        <v>1030.1600000000001</v>
      </c>
      <c r="P29" s="31">
        <v>48.421256460077501</v>
      </c>
    </row>
    <row r="30" spans="1:16" ht="11.25" customHeight="1" x14ac:dyDescent="0.25">
      <c r="A30" s="31">
        <v>29</v>
      </c>
      <c r="B30" s="31" t="s">
        <v>322</v>
      </c>
      <c r="C30" s="31" t="s">
        <v>39</v>
      </c>
      <c r="D30" s="31" t="s">
        <v>77</v>
      </c>
      <c r="E30" s="31" t="s">
        <v>40</v>
      </c>
      <c r="F30" s="31" t="s">
        <v>81</v>
      </c>
      <c r="G30" s="31" t="s">
        <v>25</v>
      </c>
      <c r="H30" s="31" t="s">
        <v>25</v>
      </c>
      <c r="I30" s="31" t="s">
        <v>36</v>
      </c>
      <c r="J30" s="31" t="s">
        <v>469</v>
      </c>
      <c r="K30" s="31" t="s">
        <v>468</v>
      </c>
      <c r="L30" s="31" t="s">
        <v>63</v>
      </c>
      <c r="M30" s="31">
        <v>2021</v>
      </c>
      <c r="N30" s="31">
        <v>0</v>
      </c>
      <c r="O30" s="31">
        <v>133.12</v>
      </c>
      <c r="P30" s="31">
        <v>46.751557961454097</v>
      </c>
    </row>
    <row r="31" spans="1:16" ht="11.25" customHeight="1" x14ac:dyDescent="0.25">
      <c r="A31" s="31">
        <v>30</v>
      </c>
      <c r="B31" s="31" t="s">
        <v>350</v>
      </c>
      <c r="C31" s="31" t="s">
        <v>33</v>
      </c>
      <c r="D31" s="31" t="s">
        <v>62</v>
      </c>
      <c r="E31" s="31" t="s">
        <v>25</v>
      </c>
      <c r="F31" s="31" t="s">
        <v>25</v>
      </c>
      <c r="G31" s="31" t="s">
        <v>25</v>
      </c>
      <c r="H31" s="31" t="s">
        <v>25</v>
      </c>
      <c r="I31" s="31" t="s">
        <v>36</v>
      </c>
      <c r="J31" s="31" t="s">
        <v>469</v>
      </c>
      <c r="K31" s="31" t="s">
        <v>468</v>
      </c>
      <c r="L31" s="31" t="s">
        <v>63</v>
      </c>
      <c r="M31" s="31">
        <v>2021</v>
      </c>
      <c r="N31" s="31">
        <v>0</v>
      </c>
      <c r="O31" s="31">
        <v>241.37</v>
      </c>
      <c r="P31" s="31"/>
    </row>
    <row r="32" spans="1:16" ht="11.25" customHeight="1" x14ac:dyDescent="0.25">
      <c r="A32" s="31">
        <v>31</v>
      </c>
      <c r="B32" s="31" t="s">
        <v>322</v>
      </c>
      <c r="C32" s="31" t="s">
        <v>33</v>
      </c>
      <c r="D32" s="31" t="s">
        <v>37</v>
      </c>
      <c r="E32" s="31" t="s">
        <v>25</v>
      </c>
      <c r="F32" s="31" t="s">
        <v>25</v>
      </c>
      <c r="G32" s="31" t="s">
        <v>70</v>
      </c>
      <c r="H32" s="31" t="s">
        <v>25</v>
      </c>
      <c r="I32" s="31" t="s">
        <v>36</v>
      </c>
      <c r="J32" s="31" t="s">
        <v>469</v>
      </c>
      <c r="K32" s="31" t="s">
        <v>468</v>
      </c>
      <c r="L32" s="31" t="s">
        <v>63</v>
      </c>
      <c r="M32" s="31">
        <v>2021</v>
      </c>
      <c r="N32" s="31">
        <v>0</v>
      </c>
      <c r="O32" s="31">
        <v>0.9</v>
      </c>
      <c r="P32" s="31">
        <v>0</v>
      </c>
    </row>
    <row r="33" spans="1:16" ht="11.25" customHeight="1" x14ac:dyDescent="0.25">
      <c r="A33" s="31">
        <v>32</v>
      </c>
      <c r="B33" s="31" t="s">
        <v>322</v>
      </c>
      <c r="C33" s="31" t="s">
        <v>31</v>
      </c>
      <c r="D33" s="31" t="s">
        <v>77</v>
      </c>
      <c r="E33" s="31" t="s">
        <v>25</v>
      </c>
      <c r="F33" s="31" t="s">
        <v>25</v>
      </c>
      <c r="G33" s="31" t="s">
        <v>25</v>
      </c>
      <c r="H33" s="31" t="s">
        <v>25</v>
      </c>
      <c r="I33" s="31" t="s">
        <v>35</v>
      </c>
      <c r="J33" s="31" t="s">
        <v>469</v>
      </c>
      <c r="K33" s="31" t="s">
        <v>468</v>
      </c>
      <c r="L33" s="31" t="s">
        <v>63</v>
      </c>
      <c r="M33" s="31">
        <v>2021</v>
      </c>
      <c r="N33" s="31">
        <v>0</v>
      </c>
      <c r="O33" s="31">
        <v>604.36</v>
      </c>
      <c r="P33" s="31">
        <v>55.656616620778699</v>
      </c>
    </row>
    <row r="34" spans="1:16" ht="11.25" customHeight="1" x14ac:dyDescent="0.25">
      <c r="A34" s="31">
        <v>33</v>
      </c>
      <c r="B34" s="31" t="s">
        <v>322</v>
      </c>
      <c r="C34" s="31" t="s">
        <v>39</v>
      </c>
      <c r="D34" s="31" t="s">
        <v>23</v>
      </c>
      <c r="E34" s="31" t="s">
        <v>40</v>
      </c>
      <c r="F34" s="31" t="s">
        <v>25</v>
      </c>
      <c r="G34" s="31" t="s">
        <v>25</v>
      </c>
      <c r="H34" s="31" t="s">
        <v>25</v>
      </c>
      <c r="I34" s="31" t="s">
        <v>25</v>
      </c>
      <c r="J34" s="31" t="s">
        <v>469</v>
      </c>
      <c r="K34" s="31" t="s">
        <v>468</v>
      </c>
      <c r="L34" s="31" t="s">
        <v>63</v>
      </c>
      <c r="M34" s="31">
        <v>2021</v>
      </c>
      <c r="N34" s="31">
        <v>0</v>
      </c>
      <c r="O34" s="31">
        <v>195.69</v>
      </c>
      <c r="P34" s="31">
        <v>48.977822626285203</v>
      </c>
    </row>
    <row r="35" spans="1:16" ht="11.25" customHeight="1" x14ac:dyDescent="0.25">
      <c r="A35" s="31">
        <v>34</v>
      </c>
      <c r="B35" s="31" t="s">
        <v>322</v>
      </c>
      <c r="C35" s="31" t="s">
        <v>31</v>
      </c>
      <c r="D35" s="31" t="s">
        <v>77</v>
      </c>
      <c r="E35" s="31" t="s">
        <v>25</v>
      </c>
      <c r="F35" s="31" t="s">
        <v>25</v>
      </c>
      <c r="G35" s="31" t="s">
        <v>25</v>
      </c>
      <c r="H35" s="31" t="s">
        <v>25</v>
      </c>
      <c r="I35" s="31" t="s">
        <v>36</v>
      </c>
      <c r="J35" s="31" t="s">
        <v>469</v>
      </c>
      <c r="K35" s="31" t="s">
        <v>468</v>
      </c>
      <c r="L35" s="31" t="s">
        <v>63</v>
      </c>
      <c r="M35" s="31">
        <v>2021</v>
      </c>
      <c r="N35" s="31">
        <v>0</v>
      </c>
      <c r="O35" s="31">
        <v>174.06</v>
      </c>
      <c r="P35" s="31">
        <v>55.656616620778699</v>
      </c>
    </row>
    <row r="36" spans="1:16" ht="11.25" customHeight="1" x14ac:dyDescent="0.25">
      <c r="A36" s="31">
        <v>35</v>
      </c>
      <c r="B36" s="31" t="s">
        <v>322</v>
      </c>
      <c r="C36" s="31" t="s">
        <v>39</v>
      </c>
      <c r="D36" s="31" t="s">
        <v>23</v>
      </c>
      <c r="E36" s="31" t="s">
        <v>40</v>
      </c>
      <c r="F36" s="31" t="s">
        <v>80</v>
      </c>
      <c r="G36" s="31" t="s">
        <v>25</v>
      </c>
      <c r="H36" s="31" t="s">
        <v>25</v>
      </c>
      <c r="I36" s="31" t="s">
        <v>25</v>
      </c>
      <c r="J36" s="31" t="s">
        <v>469</v>
      </c>
      <c r="K36" s="31" t="s">
        <v>468</v>
      </c>
      <c r="L36" s="31" t="s">
        <v>63</v>
      </c>
      <c r="M36" s="31">
        <v>2021</v>
      </c>
      <c r="N36" s="31">
        <v>0</v>
      </c>
      <c r="O36" s="31">
        <v>195.69</v>
      </c>
      <c r="P36" s="31">
        <v>48.977822626285203</v>
      </c>
    </row>
    <row r="37" spans="1:16" ht="11.25" customHeight="1" x14ac:dyDescent="0.25">
      <c r="A37" s="31">
        <v>36</v>
      </c>
      <c r="B37" s="31" t="s">
        <v>322</v>
      </c>
      <c r="C37" s="31" t="s">
        <v>42</v>
      </c>
      <c r="D37" s="31" t="s">
        <v>23</v>
      </c>
      <c r="E37" s="31" t="s">
        <v>43</v>
      </c>
      <c r="F37" s="31" t="s">
        <v>82</v>
      </c>
      <c r="G37" s="31" t="s">
        <v>25</v>
      </c>
      <c r="H37" s="31" t="s">
        <v>25</v>
      </c>
      <c r="I37" s="31" t="s">
        <v>25</v>
      </c>
      <c r="J37" s="31" t="s">
        <v>469</v>
      </c>
      <c r="K37" s="31" t="s">
        <v>468</v>
      </c>
      <c r="L37" s="31" t="s">
        <v>63</v>
      </c>
      <c r="M37" s="31">
        <v>2021</v>
      </c>
      <c r="N37" s="31">
        <v>0</v>
      </c>
      <c r="O37" s="31">
        <v>122.31</v>
      </c>
      <c r="P37" s="31">
        <v>30.6111391414283</v>
      </c>
    </row>
    <row r="38" spans="1:16" ht="11.25" customHeight="1" x14ac:dyDescent="0.25">
      <c r="A38" s="31">
        <v>37</v>
      </c>
      <c r="B38" s="31" t="s">
        <v>350</v>
      </c>
      <c r="C38" s="31" t="s">
        <v>22</v>
      </c>
      <c r="D38" s="31" t="s">
        <v>62</v>
      </c>
      <c r="E38" s="31" t="s">
        <v>24</v>
      </c>
      <c r="F38" s="31" t="s">
        <v>24</v>
      </c>
      <c r="G38" s="31" t="s">
        <v>25</v>
      </c>
      <c r="H38" s="31" t="s">
        <v>25</v>
      </c>
      <c r="I38" s="31" t="s">
        <v>470</v>
      </c>
      <c r="J38" s="31" t="s">
        <v>469</v>
      </c>
      <c r="K38" s="31" t="s">
        <v>468</v>
      </c>
      <c r="L38" s="31" t="s">
        <v>63</v>
      </c>
      <c r="M38" s="31">
        <v>2021</v>
      </c>
      <c r="N38" s="31">
        <v>0</v>
      </c>
      <c r="O38" s="31">
        <v>241.37</v>
      </c>
      <c r="P38" s="31"/>
    </row>
    <row r="39" spans="1:16" ht="11.25" customHeight="1" x14ac:dyDescent="0.25">
      <c r="A39" s="31">
        <v>38</v>
      </c>
      <c r="B39" s="31" t="s">
        <v>322</v>
      </c>
      <c r="C39" s="31" t="s">
        <v>39</v>
      </c>
      <c r="D39" s="31" t="s">
        <v>77</v>
      </c>
      <c r="E39" s="31" t="s">
        <v>40</v>
      </c>
      <c r="F39" s="31" t="s">
        <v>80</v>
      </c>
      <c r="G39" s="31" t="s">
        <v>25</v>
      </c>
      <c r="H39" s="31" t="s">
        <v>25</v>
      </c>
      <c r="I39" s="31" t="s">
        <v>470</v>
      </c>
      <c r="J39" s="31" t="s">
        <v>469</v>
      </c>
      <c r="K39" s="31" t="s">
        <v>468</v>
      </c>
      <c r="L39" s="31" t="s">
        <v>63</v>
      </c>
      <c r="M39" s="31">
        <v>2021</v>
      </c>
      <c r="N39" s="31">
        <v>0</v>
      </c>
      <c r="O39" s="31">
        <v>301.35000000000002</v>
      </c>
      <c r="P39" s="31">
        <v>48.977822626285203</v>
      </c>
    </row>
    <row r="40" spans="1:16" ht="11.25" customHeight="1" x14ac:dyDescent="0.25">
      <c r="A40" s="31">
        <v>39</v>
      </c>
      <c r="B40" s="31" t="s">
        <v>322</v>
      </c>
      <c r="C40" s="31" t="s">
        <v>31</v>
      </c>
      <c r="D40" s="31" t="s">
        <v>23</v>
      </c>
      <c r="E40" s="31" t="s">
        <v>25</v>
      </c>
      <c r="F40" s="31" t="s">
        <v>25</v>
      </c>
      <c r="G40" s="31" t="s">
        <v>25</v>
      </c>
      <c r="H40" s="31" t="s">
        <v>25</v>
      </c>
      <c r="I40" s="31" t="s">
        <v>25</v>
      </c>
      <c r="J40" s="31" t="s">
        <v>469</v>
      </c>
      <c r="K40" s="31" t="s">
        <v>468</v>
      </c>
      <c r="L40" s="31" t="s">
        <v>63</v>
      </c>
      <c r="M40" s="31">
        <v>2021</v>
      </c>
      <c r="N40" s="31">
        <v>0</v>
      </c>
      <c r="O40" s="31">
        <v>222.38</v>
      </c>
      <c r="P40" s="31">
        <v>55.656616620778699</v>
      </c>
    </row>
    <row r="41" spans="1:16" ht="11.25" customHeight="1" x14ac:dyDescent="0.25">
      <c r="A41" s="31">
        <v>40</v>
      </c>
      <c r="B41" s="31" t="s">
        <v>322</v>
      </c>
      <c r="C41" s="31" t="s">
        <v>39</v>
      </c>
      <c r="D41" s="31" t="s">
        <v>23</v>
      </c>
      <c r="E41" s="31" t="s">
        <v>40</v>
      </c>
      <c r="F41" s="31" t="s">
        <v>81</v>
      </c>
      <c r="G41" s="31" t="s">
        <v>25</v>
      </c>
      <c r="H41" s="31" t="s">
        <v>25</v>
      </c>
      <c r="I41" s="31" t="s">
        <v>25</v>
      </c>
      <c r="J41" s="31" t="s">
        <v>469</v>
      </c>
      <c r="K41" s="31" t="s">
        <v>468</v>
      </c>
      <c r="L41" s="31" t="s">
        <v>63</v>
      </c>
      <c r="M41" s="31">
        <v>2021</v>
      </c>
      <c r="N41" s="31">
        <v>0</v>
      </c>
      <c r="O41" s="31">
        <v>186.8</v>
      </c>
      <c r="P41" s="31">
        <v>46.751557961454097</v>
      </c>
    </row>
    <row r="42" spans="1:16" ht="11.25" customHeight="1" x14ac:dyDescent="0.25">
      <c r="A42" s="31">
        <v>41</v>
      </c>
      <c r="B42" s="31" t="s">
        <v>322</v>
      </c>
      <c r="C42" s="31" t="s">
        <v>39</v>
      </c>
      <c r="D42" s="31" t="s">
        <v>77</v>
      </c>
      <c r="E42" s="31" t="s">
        <v>40</v>
      </c>
      <c r="F42" s="31" t="s">
        <v>80</v>
      </c>
      <c r="G42" s="31" t="s">
        <v>25</v>
      </c>
      <c r="H42" s="31" t="s">
        <v>25</v>
      </c>
      <c r="I42" s="31" t="s">
        <v>36</v>
      </c>
      <c r="J42" s="31" t="s">
        <v>469</v>
      </c>
      <c r="K42" s="31" t="s">
        <v>468</v>
      </c>
      <c r="L42" s="31" t="s">
        <v>63</v>
      </c>
      <c r="M42" s="31">
        <v>2021</v>
      </c>
      <c r="N42" s="31">
        <v>0</v>
      </c>
      <c r="O42" s="31">
        <v>139.46</v>
      </c>
      <c r="P42" s="31">
        <v>48.977822626285203</v>
      </c>
    </row>
    <row r="43" spans="1:16" ht="11.25" customHeight="1" x14ac:dyDescent="0.25">
      <c r="A43" s="31">
        <v>42</v>
      </c>
      <c r="B43" s="31" t="s">
        <v>322</v>
      </c>
      <c r="C43" s="31" t="s">
        <v>39</v>
      </c>
      <c r="D43" s="31" t="s">
        <v>77</v>
      </c>
      <c r="E43" s="31" t="s">
        <v>40</v>
      </c>
      <c r="F43" s="31" t="s">
        <v>80</v>
      </c>
      <c r="G43" s="31" t="s">
        <v>25</v>
      </c>
      <c r="H43" s="31" t="s">
        <v>25</v>
      </c>
      <c r="I43" s="31" t="s">
        <v>35</v>
      </c>
      <c r="J43" s="31" t="s">
        <v>469</v>
      </c>
      <c r="K43" s="31" t="s">
        <v>468</v>
      </c>
      <c r="L43" s="31" t="s">
        <v>63</v>
      </c>
      <c r="M43" s="31">
        <v>2021</v>
      </c>
      <c r="N43" s="31">
        <v>0</v>
      </c>
      <c r="O43" s="31">
        <v>463.24</v>
      </c>
      <c r="P43" s="31">
        <v>48.977822626285203</v>
      </c>
    </row>
    <row r="44" spans="1:16" ht="11.25" customHeight="1" x14ac:dyDescent="0.25">
      <c r="A44" s="31">
        <v>43</v>
      </c>
      <c r="B44" s="31" t="s">
        <v>350</v>
      </c>
      <c r="C44" s="31" t="s">
        <v>22</v>
      </c>
      <c r="D44" s="31" t="s">
        <v>62</v>
      </c>
      <c r="E44" s="31" t="s">
        <v>24</v>
      </c>
      <c r="F44" s="31" t="s">
        <v>24</v>
      </c>
      <c r="G44" s="31" t="s">
        <v>25</v>
      </c>
      <c r="H44" s="31" t="s">
        <v>25</v>
      </c>
      <c r="I44" s="31" t="s">
        <v>35</v>
      </c>
      <c r="J44" s="31" t="s">
        <v>469</v>
      </c>
      <c r="K44" s="31" t="s">
        <v>468</v>
      </c>
      <c r="L44" s="31" t="s">
        <v>63</v>
      </c>
      <c r="M44" s="31">
        <v>2021</v>
      </c>
      <c r="N44" s="31">
        <v>0</v>
      </c>
      <c r="O44" s="31">
        <v>241.37</v>
      </c>
      <c r="P44" s="31"/>
    </row>
    <row r="45" spans="1:16" ht="11.25" customHeight="1" x14ac:dyDescent="0.25">
      <c r="A45" s="31">
        <v>44</v>
      </c>
      <c r="B45" s="31" t="s">
        <v>322</v>
      </c>
      <c r="C45" s="31" t="s">
        <v>39</v>
      </c>
      <c r="D45" s="31" t="s">
        <v>77</v>
      </c>
      <c r="E45" s="31" t="s">
        <v>40</v>
      </c>
      <c r="F45" s="31" t="s">
        <v>81</v>
      </c>
      <c r="G45" s="31" t="s">
        <v>25</v>
      </c>
      <c r="H45" s="31" t="s">
        <v>25</v>
      </c>
      <c r="I45" s="31" t="s">
        <v>470</v>
      </c>
      <c r="J45" s="31" t="s">
        <v>469</v>
      </c>
      <c r="K45" s="31" t="s">
        <v>468</v>
      </c>
      <c r="L45" s="31" t="s">
        <v>63</v>
      </c>
      <c r="M45" s="31">
        <v>2021</v>
      </c>
      <c r="N45" s="31">
        <v>0</v>
      </c>
      <c r="O45" s="31">
        <v>287.64999999999998</v>
      </c>
      <c r="P45" s="31">
        <v>46.751557961454097</v>
      </c>
    </row>
    <row r="46" spans="1:16" ht="11.25" customHeight="1" x14ac:dyDescent="0.25">
      <c r="A46" s="31">
        <v>45</v>
      </c>
      <c r="B46" s="31" t="s">
        <v>350</v>
      </c>
      <c r="C46" s="31" t="s">
        <v>33</v>
      </c>
      <c r="D46" s="31" t="s">
        <v>62</v>
      </c>
      <c r="E46" s="31" t="s">
        <v>25</v>
      </c>
      <c r="F46" s="31" t="s">
        <v>25</v>
      </c>
      <c r="G46" s="31" t="s">
        <v>25</v>
      </c>
      <c r="H46" s="31" t="s">
        <v>25</v>
      </c>
      <c r="I46" s="31" t="s">
        <v>35</v>
      </c>
      <c r="J46" s="31" t="s">
        <v>469</v>
      </c>
      <c r="K46" s="31" t="s">
        <v>468</v>
      </c>
      <c r="L46" s="31" t="s">
        <v>63</v>
      </c>
      <c r="M46" s="31">
        <v>2021</v>
      </c>
      <c r="N46" s="31">
        <v>0</v>
      </c>
      <c r="O46" s="31">
        <v>241.37</v>
      </c>
      <c r="P46" s="31"/>
    </row>
    <row r="47" spans="1:16" ht="11.25" customHeight="1" x14ac:dyDescent="0.25">
      <c r="A47" s="31">
        <v>46</v>
      </c>
      <c r="B47" s="31" t="s">
        <v>322</v>
      </c>
      <c r="C47" s="31" t="s">
        <v>31</v>
      </c>
      <c r="D47" s="31" t="s">
        <v>77</v>
      </c>
      <c r="E47" s="31" t="s">
        <v>25</v>
      </c>
      <c r="F47" s="31" t="s">
        <v>25</v>
      </c>
      <c r="G47" s="31" t="s">
        <v>25</v>
      </c>
      <c r="H47" s="31" t="s">
        <v>25</v>
      </c>
      <c r="I47" s="31" t="s">
        <v>470</v>
      </c>
      <c r="J47" s="31" t="s">
        <v>469</v>
      </c>
      <c r="K47" s="31" t="s">
        <v>468</v>
      </c>
      <c r="L47" s="31" t="s">
        <v>63</v>
      </c>
      <c r="M47" s="31">
        <v>2021</v>
      </c>
      <c r="N47" s="31">
        <v>0</v>
      </c>
      <c r="O47" s="31">
        <v>389.22</v>
      </c>
      <c r="P47" s="31">
        <v>55.656616620778699</v>
      </c>
    </row>
    <row r="48" spans="1:16" ht="11.25" customHeight="1" x14ac:dyDescent="0.25">
      <c r="A48" s="31">
        <v>47</v>
      </c>
      <c r="B48" s="31" t="s">
        <v>322</v>
      </c>
      <c r="C48" s="31" t="s">
        <v>39</v>
      </c>
      <c r="D48" s="31" t="s">
        <v>77</v>
      </c>
      <c r="E48" s="31" t="s">
        <v>40</v>
      </c>
      <c r="F48" s="31" t="s">
        <v>81</v>
      </c>
      <c r="G48" s="31" t="s">
        <v>25</v>
      </c>
      <c r="H48" s="31" t="s">
        <v>25</v>
      </c>
      <c r="I48" s="31" t="s">
        <v>35</v>
      </c>
      <c r="J48" s="31" t="s">
        <v>469</v>
      </c>
      <c r="K48" s="31" t="s">
        <v>468</v>
      </c>
      <c r="L48" s="31" t="s">
        <v>63</v>
      </c>
      <c r="M48" s="31">
        <v>2021</v>
      </c>
      <c r="N48" s="31">
        <v>0</v>
      </c>
      <c r="O48" s="31">
        <v>442.18</v>
      </c>
      <c r="P48" s="31">
        <v>46.751557961454097</v>
      </c>
    </row>
    <row r="49" spans="1:16" ht="11.25" customHeight="1" x14ac:dyDescent="0.25">
      <c r="A49" s="31">
        <v>48</v>
      </c>
      <c r="B49" s="31" t="s">
        <v>322</v>
      </c>
      <c r="C49" s="31" t="s">
        <v>31</v>
      </c>
      <c r="D49" s="31" t="s">
        <v>79</v>
      </c>
      <c r="E49" s="31" t="s">
        <v>25</v>
      </c>
      <c r="F49" s="31" t="s">
        <v>25</v>
      </c>
      <c r="G49" s="31" t="s">
        <v>25</v>
      </c>
      <c r="H49" s="31" t="s">
        <v>25</v>
      </c>
      <c r="I49" s="31" t="s">
        <v>25</v>
      </c>
      <c r="J49" s="31" t="s">
        <v>469</v>
      </c>
      <c r="K49" s="31" t="s">
        <v>468</v>
      </c>
      <c r="L49" s="31" t="s">
        <v>63</v>
      </c>
      <c r="M49" s="31">
        <v>2021</v>
      </c>
      <c r="N49" s="31">
        <v>0</v>
      </c>
      <c r="O49" s="31">
        <v>222.38</v>
      </c>
      <c r="P49" s="31">
        <v>55.656616620778699</v>
      </c>
    </row>
    <row r="50" spans="1:16" ht="11.25" customHeight="1" x14ac:dyDescent="0.25">
      <c r="A50" s="31">
        <v>49</v>
      </c>
      <c r="B50" s="31" t="s">
        <v>322</v>
      </c>
      <c r="C50" s="31" t="s">
        <v>39</v>
      </c>
      <c r="D50" s="31" t="s">
        <v>77</v>
      </c>
      <c r="E50" s="31" t="s">
        <v>40</v>
      </c>
      <c r="F50" s="31" t="s">
        <v>25</v>
      </c>
      <c r="G50" s="31" t="s">
        <v>25</v>
      </c>
      <c r="H50" s="31" t="s">
        <v>25</v>
      </c>
      <c r="I50" s="31" t="s">
        <v>36</v>
      </c>
      <c r="J50" s="31" t="s">
        <v>469</v>
      </c>
      <c r="K50" s="31" t="s">
        <v>468</v>
      </c>
      <c r="L50" s="31" t="s">
        <v>63</v>
      </c>
      <c r="M50" s="31">
        <v>2021</v>
      </c>
      <c r="N50" s="31">
        <v>0</v>
      </c>
      <c r="O50" s="31">
        <v>139.46</v>
      </c>
      <c r="P50" s="31">
        <v>48.977822626285203</v>
      </c>
    </row>
    <row r="51" spans="1:16" ht="11.25" customHeight="1" x14ac:dyDescent="0.25">
      <c r="A51" s="31">
        <v>50</v>
      </c>
      <c r="B51" s="31" t="s">
        <v>322</v>
      </c>
      <c r="C51" s="31" t="s">
        <v>42</v>
      </c>
      <c r="D51" s="31" t="s">
        <v>23</v>
      </c>
      <c r="E51" s="31" t="s">
        <v>43</v>
      </c>
      <c r="F51" s="31" t="s">
        <v>44</v>
      </c>
      <c r="G51" s="31" t="s">
        <v>25</v>
      </c>
      <c r="H51" s="31" t="s">
        <v>25</v>
      </c>
      <c r="I51" s="31" t="s">
        <v>25</v>
      </c>
      <c r="J51" s="31" t="s">
        <v>469</v>
      </c>
      <c r="K51" s="31" t="s">
        <v>468</v>
      </c>
      <c r="L51" s="31" t="s">
        <v>63</v>
      </c>
      <c r="M51" s="31">
        <v>2021</v>
      </c>
      <c r="N51" s="31">
        <v>0</v>
      </c>
      <c r="O51" s="31">
        <v>133.43</v>
      </c>
      <c r="P51" s="31">
        <v>33.393969972467197</v>
      </c>
    </row>
    <row r="52" spans="1:16" ht="11.25" customHeight="1" x14ac:dyDescent="0.25">
      <c r="A52" s="31">
        <v>51</v>
      </c>
      <c r="B52" s="31" t="s">
        <v>322</v>
      </c>
      <c r="C52" s="31" t="s">
        <v>39</v>
      </c>
      <c r="D52" s="31" t="s">
        <v>79</v>
      </c>
      <c r="E52" s="31" t="s">
        <v>40</v>
      </c>
      <c r="F52" s="31" t="s">
        <v>80</v>
      </c>
      <c r="G52" s="31" t="s">
        <v>25</v>
      </c>
      <c r="H52" s="31" t="s">
        <v>25</v>
      </c>
      <c r="I52" s="31" t="s">
        <v>25</v>
      </c>
      <c r="J52" s="31" t="s">
        <v>469</v>
      </c>
      <c r="K52" s="31" t="s">
        <v>468</v>
      </c>
      <c r="L52" s="31" t="s">
        <v>63</v>
      </c>
      <c r="M52" s="31">
        <v>2021</v>
      </c>
      <c r="N52" s="31">
        <v>0</v>
      </c>
      <c r="O52" s="31">
        <v>195.69</v>
      </c>
      <c r="P52" s="31">
        <v>48.977822626285203</v>
      </c>
    </row>
    <row r="53" spans="1:16" ht="11.25" customHeight="1" x14ac:dyDescent="0.25">
      <c r="A53" s="31">
        <v>52</v>
      </c>
      <c r="B53" s="31" t="s">
        <v>350</v>
      </c>
      <c r="C53" s="31" t="s">
        <v>22</v>
      </c>
      <c r="D53" s="31" t="s">
        <v>76</v>
      </c>
      <c r="E53" s="31" t="s">
        <v>24</v>
      </c>
      <c r="F53" s="31" t="s">
        <v>24</v>
      </c>
      <c r="G53" s="31" t="s">
        <v>25</v>
      </c>
      <c r="H53" s="31" t="s">
        <v>25</v>
      </c>
      <c r="I53" s="31" t="s">
        <v>25</v>
      </c>
      <c r="J53" s="31" t="s">
        <v>469</v>
      </c>
      <c r="K53" s="31" t="s">
        <v>468</v>
      </c>
      <c r="L53" s="31" t="s">
        <v>63</v>
      </c>
      <c r="M53" s="31">
        <v>2021</v>
      </c>
      <c r="N53" s="31">
        <v>0</v>
      </c>
      <c r="O53" s="31">
        <v>241.37</v>
      </c>
      <c r="P53" s="31"/>
    </row>
    <row r="54" spans="1:16" ht="11.25" customHeight="1" x14ac:dyDescent="0.25">
      <c r="A54" s="31">
        <v>53</v>
      </c>
      <c r="B54" s="31" t="s">
        <v>322</v>
      </c>
      <c r="C54" s="31" t="s">
        <v>39</v>
      </c>
      <c r="D54" s="31" t="s">
        <v>79</v>
      </c>
      <c r="E54" s="31" t="s">
        <v>40</v>
      </c>
      <c r="F54" s="31" t="s">
        <v>81</v>
      </c>
      <c r="G54" s="31" t="s">
        <v>25</v>
      </c>
      <c r="H54" s="31" t="s">
        <v>25</v>
      </c>
      <c r="I54" s="31" t="s">
        <v>25</v>
      </c>
      <c r="J54" s="31" t="s">
        <v>469</v>
      </c>
      <c r="K54" s="31" t="s">
        <v>468</v>
      </c>
      <c r="L54" s="31" t="s">
        <v>63</v>
      </c>
      <c r="M54" s="31">
        <v>2021</v>
      </c>
      <c r="N54" s="31">
        <v>0</v>
      </c>
      <c r="O54" s="31">
        <v>186.8</v>
      </c>
      <c r="P54" s="31">
        <v>46.751557961454097</v>
      </c>
    </row>
    <row r="55" spans="1:16" ht="11.25" customHeight="1" x14ac:dyDescent="0.25">
      <c r="A55" s="31">
        <v>54</v>
      </c>
      <c r="B55" s="31" t="s">
        <v>350</v>
      </c>
      <c r="C55" s="31" t="s">
        <v>22</v>
      </c>
      <c r="D55" s="31" t="s">
        <v>76</v>
      </c>
      <c r="E55" s="31" t="s">
        <v>24</v>
      </c>
      <c r="F55" s="31" t="s">
        <v>27</v>
      </c>
      <c r="G55" s="31" t="s">
        <v>25</v>
      </c>
      <c r="H55" s="31" t="s">
        <v>25</v>
      </c>
      <c r="I55" s="31" t="s">
        <v>25</v>
      </c>
      <c r="J55" s="31" t="s">
        <v>469</v>
      </c>
      <c r="K55" s="31" t="s">
        <v>468</v>
      </c>
      <c r="L55" s="31" t="s">
        <v>63</v>
      </c>
      <c r="M55" s="31">
        <v>2021</v>
      </c>
      <c r="N55" s="31">
        <v>0</v>
      </c>
      <c r="O55" s="31">
        <v>84.48</v>
      </c>
      <c r="P55" s="31"/>
    </row>
    <row r="56" spans="1:16" ht="11.25" customHeight="1" x14ac:dyDescent="0.25">
      <c r="A56" s="31">
        <v>55</v>
      </c>
      <c r="B56" s="31" t="s">
        <v>350</v>
      </c>
      <c r="C56" s="31" t="s">
        <v>39</v>
      </c>
      <c r="D56" s="31" t="s">
        <v>62</v>
      </c>
      <c r="E56" s="31" t="s">
        <v>40</v>
      </c>
      <c r="F56" s="31" t="s">
        <v>25</v>
      </c>
      <c r="G56" s="31" t="s">
        <v>25</v>
      </c>
      <c r="H56" s="31" t="s">
        <v>25</v>
      </c>
      <c r="I56" s="31" t="s">
        <v>36</v>
      </c>
      <c r="J56" s="31" t="s">
        <v>469</v>
      </c>
      <c r="K56" s="31" t="s">
        <v>468</v>
      </c>
      <c r="L56" s="31" t="s">
        <v>63</v>
      </c>
      <c r="M56" s="31">
        <v>2021</v>
      </c>
      <c r="N56" s="31">
        <v>0</v>
      </c>
      <c r="O56" s="31">
        <v>212.41</v>
      </c>
      <c r="P56" s="31"/>
    </row>
    <row r="57" spans="1:16" ht="11.25" customHeight="1" x14ac:dyDescent="0.25">
      <c r="A57" s="31">
        <v>56</v>
      </c>
      <c r="B57" s="31" t="s">
        <v>350</v>
      </c>
      <c r="C57" s="31" t="s">
        <v>31</v>
      </c>
      <c r="D57" s="31" t="s">
        <v>62</v>
      </c>
      <c r="E57" s="31" t="s">
        <v>25</v>
      </c>
      <c r="F57" s="31" t="s">
        <v>25</v>
      </c>
      <c r="G57" s="31" t="s">
        <v>25</v>
      </c>
      <c r="H57" s="31" t="s">
        <v>25</v>
      </c>
      <c r="I57" s="31" t="s">
        <v>35</v>
      </c>
      <c r="J57" s="31" t="s">
        <v>469</v>
      </c>
      <c r="K57" s="31" t="s">
        <v>468</v>
      </c>
      <c r="L57" s="31" t="s">
        <v>63</v>
      </c>
      <c r="M57" s="31">
        <v>2021</v>
      </c>
      <c r="N57" s="31">
        <v>0</v>
      </c>
      <c r="O57" s="31">
        <v>241.37</v>
      </c>
      <c r="P57" s="31"/>
    </row>
    <row r="58" spans="1:16" ht="11.25" customHeight="1" x14ac:dyDescent="0.25">
      <c r="A58" s="31">
        <v>57</v>
      </c>
      <c r="B58" s="31" t="s">
        <v>350</v>
      </c>
      <c r="C58" s="31" t="s">
        <v>22</v>
      </c>
      <c r="D58" s="31" t="s">
        <v>78</v>
      </c>
      <c r="E58" s="31" t="s">
        <v>24</v>
      </c>
      <c r="F58" s="31" t="s">
        <v>28</v>
      </c>
      <c r="G58" s="31" t="s">
        <v>25</v>
      </c>
      <c r="H58" s="31" t="s">
        <v>25</v>
      </c>
      <c r="I58" s="31" t="s">
        <v>25</v>
      </c>
      <c r="J58" s="31" t="s">
        <v>469</v>
      </c>
      <c r="K58" s="31" t="s">
        <v>468</v>
      </c>
      <c r="L58" s="31" t="s">
        <v>63</v>
      </c>
      <c r="M58" s="31">
        <v>2021</v>
      </c>
      <c r="N58" s="31">
        <v>0</v>
      </c>
      <c r="O58" s="31">
        <v>144.82</v>
      </c>
      <c r="P58" s="31"/>
    </row>
    <row r="59" spans="1:16" ht="11.25" customHeight="1" x14ac:dyDescent="0.25">
      <c r="A59" s="31">
        <v>58</v>
      </c>
      <c r="B59" s="31" t="s">
        <v>350</v>
      </c>
      <c r="C59" s="31" t="s">
        <v>39</v>
      </c>
      <c r="D59" s="31" t="s">
        <v>76</v>
      </c>
      <c r="E59" s="31" t="s">
        <v>40</v>
      </c>
      <c r="F59" s="31" t="s">
        <v>81</v>
      </c>
      <c r="G59" s="31" t="s">
        <v>25</v>
      </c>
      <c r="H59" s="31" t="s">
        <v>25</v>
      </c>
      <c r="I59" s="31" t="s">
        <v>25</v>
      </c>
      <c r="J59" s="31" t="s">
        <v>469</v>
      </c>
      <c r="K59" s="31" t="s">
        <v>468</v>
      </c>
      <c r="L59" s="31" t="s">
        <v>63</v>
      </c>
      <c r="M59" s="31">
        <v>2021</v>
      </c>
      <c r="N59" s="31">
        <v>0</v>
      </c>
      <c r="O59" s="31">
        <v>202.75</v>
      </c>
      <c r="P59" s="31"/>
    </row>
    <row r="60" spans="1:16" ht="11.25" customHeight="1" x14ac:dyDescent="0.25">
      <c r="A60" s="31">
        <v>59</v>
      </c>
      <c r="B60" s="31" t="s">
        <v>350</v>
      </c>
      <c r="C60" s="31" t="s">
        <v>39</v>
      </c>
      <c r="D60" s="31" t="s">
        <v>62</v>
      </c>
      <c r="E60" s="31" t="s">
        <v>40</v>
      </c>
      <c r="F60" s="31" t="s">
        <v>25</v>
      </c>
      <c r="G60" s="31" t="s">
        <v>25</v>
      </c>
      <c r="H60" s="31" t="s">
        <v>25</v>
      </c>
      <c r="I60" s="31" t="s">
        <v>35</v>
      </c>
      <c r="J60" s="31" t="s">
        <v>469</v>
      </c>
      <c r="K60" s="31" t="s">
        <v>468</v>
      </c>
      <c r="L60" s="31" t="s">
        <v>63</v>
      </c>
      <c r="M60" s="31">
        <v>2021</v>
      </c>
      <c r="N60" s="31">
        <v>0</v>
      </c>
      <c r="O60" s="31">
        <v>212.41</v>
      </c>
      <c r="P60" s="31"/>
    </row>
    <row r="61" spans="1:16" ht="11.25" customHeight="1" x14ac:dyDescent="0.25">
      <c r="A61" s="31">
        <v>60</v>
      </c>
      <c r="B61" s="31" t="s">
        <v>350</v>
      </c>
      <c r="C61" s="31" t="s">
        <v>39</v>
      </c>
      <c r="D61" s="31" t="s">
        <v>78</v>
      </c>
      <c r="E61" s="31" t="s">
        <v>40</v>
      </c>
      <c r="F61" s="31" t="s">
        <v>81</v>
      </c>
      <c r="G61" s="31" t="s">
        <v>25</v>
      </c>
      <c r="H61" s="31" t="s">
        <v>25</v>
      </c>
      <c r="I61" s="31" t="s">
        <v>25</v>
      </c>
      <c r="J61" s="31" t="s">
        <v>469</v>
      </c>
      <c r="K61" s="31" t="s">
        <v>468</v>
      </c>
      <c r="L61" s="31" t="s">
        <v>63</v>
      </c>
      <c r="M61" s="31">
        <v>2021</v>
      </c>
      <c r="N61" s="31">
        <v>0</v>
      </c>
      <c r="O61" s="31">
        <v>202.75</v>
      </c>
      <c r="P61" s="31"/>
    </row>
    <row r="62" spans="1:16" ht="11.25" customHeight="1" x14ac:dyDescent="0.25">
      <c r="A62" s="31">
        <v>61</v>
      </c>
      <c r="B62" s="31" t="s">
        <v>350</v>
      </c>
      <c r="C62" s="31" t="s">
        <v>22</v>
      </c>
      <c r="D62" s="31" t="s">
        <v>78</v>
      </c>
      <c r="E62" s="31" t="s">
        <v>24</v>
      </c>
      <c r="F62" s="31" t="s">
        <v>29</v>
      </c>
      <c r="G62" s="31" t="s">
        <v>25</v>
      </c>
      <c r="H62" s="31" t="s">
        <v>25</v>
      </c>
      <c r="I62" s="31" t="s">
        <v>25</v>
      </c>
      <c r="J62" s="31" t="s">
        <v>469</v>
      </c>
      <c r="K62" s="31" t="s">
        <v>468</v>
      </c>
      <c r="L62" s="31" t="s">
        <v>63</v>
      </c>
      <c r="M62" s="31">
        <v>2021</v>
      </c>
      <c r="N62" s="31">
        <v>0</v>
      </c>
      <c r="O62" s="31">
        <v>217.24</v>
      </c>
      <c r="P62" s="31"/>
    </row>
    <row r="63" spans="1:16" ht="11.25" customHeight="1" x14ac:dyDescent="0.25">
      <c r="A63" s="31">
        <v>62</v>
      </c>
      <c r="B63" s="31" t="s">
        <v>350</v>
      </c>
      <c r="C63" s="31" t="s">
        <v>39</v>
      </c>
      <c r="D63" s="31" t="s">
        <v>78</v>
      </c>
      <c r="E63" s="31" t="s">
        <v>40</v>
      </c>
      <c r="F63" s="31" t="s">
        <v>25</v>
      </c>
      <c r="G63" s="31" t="s">
        <v>25</v>
      </c>
      <c r="H63" s="31" t="s">
        <v>25</v>
      </c>
      <c r="I63" s="31" t="s">
        <v>25</v>
      </c>
      <c r="J63" s="31" t="s">
        <v>469</v>
      </c>
      <c r="K63" s="31" t="s">
        <v>468</v>
      </c>
      <c r="L63" s="31" t="s">
        <v>63</v>
      </c>
      <c r="M63" s="31">
        <v>2021</v>
      </c>
      <c r="N63" s="31">
        <v>0</v>
      </c>
      <c r="O63" s="31">
        <v>212.41</v>
      </c>
      <c r="P63" s="31"/>
    </row>
    <row r="64" spans="1:16" ht="11.25" customHeight="1" x14ac:dyDescent="0.25">
      <c r="A64" s="31">
        <v>63</v>
      </c>
      <c r="B64" s="31" t="s">
        <v>350</v>
      </c>
      <c r="C64" s="31" t="s">
        <v>39</v>
      </c>
      <c r="D64" s="31" t="s">
        <v>62</v>
      </c>
      <c r="E64" s="31" t="s">
        <v>40</v>
      </c>
      <c r="F64" s="31" t="s">
        <v>25</v>
      </c>
      <c r="G64" s="31" t="s">
        <v>25</v>
      </c>
      <c r="H64" s="31" t="s">
        <v>25</v>
      </c>
      <c r="I64" s="31" t="s">
        <v>470</v>
      </c>
      <c r="J64" s="31" t="s">
        <v>469</v>
      </c>
      <c r="K64" s="31" t="s">
        <v>468</v>
      </c>
      <c r="L64" s="31" t="s">
        <v>63</v>
      </c>
      <c r="M64" s="31">
        <v>2021</v>
      </c>
      <c r="N64" s="31">
        <v>0</v>
      </c>
      <c r="O64" s="31">
        <v>212.41</v>
      </c>
      <c r="P64" s="31"/>
    </row>
    <row r="65" spans="1:16" ht="11.25" customHeight="1" x14ac:dyDescent="0.25">
      <c r="A65" s="31">
        <v>64</v>
      </c>
      <c r="B65" s="31" t="s">
        <v>350</v>
      </c>
      <c r="C65" s="31" t="s">
        <v>22</v>
      </c>
      <c r="D65" s="31" t="s">
        <v>76</v>
      </c>
      <c r="E65" s="31" t="s">
        <v>24</v>
      </c>
      <c r="F65" s="31" t="s">
        <v>28</v>
      </c>
      <c r="G65" s="31" t="s">
        <v>25</v>
      </c>
      <c r="H65" s="31" t="s">
        <v>25</v>
      </c>
      <c r="I65" s="31" t="s">
        <v>25</v>
      </c>
      <c r="J65" s="31" t="s">
        <v>469</v>
      </c>
      <c r="K65" s="31" t="s">
        <v>468</v>
      </c>
      <c r="L65" s="31" t="s">
        <v>63</v>
      </c>
      <c r="M65" s="31">
        <v>2021</v>
      </c>
      <c r="N65" s="31">
        <v>0</v>
      </c>
      <c r="O65" s="31">
        <v>144.82</v>
      </c>
      <c r="P65" s="31"/>
    </row>
    <row r="66" spans="1:16" ht="11.25" customHeight="1" x14ac:dyDescent="0.25">
      <c r="A66" s="31">
        <v>65</v>
      </c>
      <c r="B66" s="31" t="s">
        <v>350</v>
      </c>
      <c r="C66" s="31" t="s">
        <v>39</v>
      </c>
      <c r="D66" s="31" t="s">
        <v>62</v>
      </c>
      <c r="E66" s="31" t="s">
        <v>40</v>
      </c>
      <c r="F66" s="31" t="s">
        <v>80</v>
      </c>
      <c r="G66" s="31" t="s">
        <v>25</v>
      </c>
      <c r="H66" s="31" t="s">
        <v>25</v>
      </c>
      <c r="I66" s="31" t="s">
        <v>470</v>
      </c>
      <c r="J66" s="31" t="s">
        <v>469</v>
      </c>
      <c r="K66" s="31" t="s">
        <v>468</v>
      </c>
      <c r="L66" s="31" t="s">
        <v>63</v>
      </c>
      <c r="M66" s="31">
        <v>2021</v>
      </c>
      <c r="N66" s="31">
        <v>0</v>
      </c>
      <c r="O66" s="31">
        <v>212.41</v>
      </c>
      <c r="P66" s="31"/>
    </row>
    <row r="67" spans="1:16" ht="11.25" customHeight="1" x14ac:dyDescent="0.25">
      <c r="A67" s="31">
        <v>66</v>
      </c>
      <c r="B67" s="31" t="s">
        <v>350</v>
      </c>
      <c r="C67" s="31" t="s">
        <v>39</v>
      </c>
      <c r="D67" s="31" t="s">
        <v>76</v>
      </c>
      <c r="E67" s="31" t="s">
        <v>40</v>
      </c>
      <c r="F67" s="31" t="s">
        <v>25</v>
      </c>
      <c r="G67" s="31" t="s">
        <v>25</v>
      </c>
      <c r="H67" s="31" t="s">
        <v>25</v>
      </c>
      <c r="I67" s="31" t="s">
        <v>25</v>
      </c>
      <c r="J67" s="31" t="s">
        <v>469</v>
      </c>
      <c r="K67" s="31" t="s">
        <v>468</v>
      </c>
      <c r="L67" s="31" t="s">
        <v>63</v>
      </c>
      <c r="M67" s="31">
        <v>2021</v>
      </c>
      <c r="N67" s="31">
        <v>0</v>
      </c>
      <c r="O67" s="31">
        <v>212.41</v>
      </c>
      <c r="P67" s="31"/>
    </row>
    <row r="68" spans="1:16" ht="11.25" customHeight="1" x14ac:dyDescent="0.25">
      <c r="A68" s="31">
        <v>67</v>
      </c>
      <c r="B68" s="31" t="s">
        <v>350</v>
      </c>
      <c r="C68" s="31" t="s">
        <v>22</v>
      </c>
      <c r="D68" s="31" t="s">
        <v>78</v>
      </c>
      <c r="E68" s="31" t="s">
        <v>24</v>
      </c>
      <c r="F68" s="31" t="s">
        <v>30</v>
      </c>
      <c r="G68" s="31" t="s">
        <v>25</v>
      </c>
      <c r="H68" s="31" t="s">
        <v>25</v>
      </c>
      <c r="I68" s="31" t="s">
        <v>25</v>
      </c>
      <c r="J68" s="31" t="s">
        <v>469</v>
      </c>
      <c r="K68" s="31" t="s">
        <v>468</v>
      </c>
      <c r="L68" s="31" t="s">
        <v>63</v>
      </c>
      <c r="M68" s="31">
        <v>2021</v>
      </c>
      <c r="N68" s="31">
        <v>0</v>
      </c>
      <c r="O68" s="31">
        <v>241.37</v>
      </c>
      <c r="P68" s="31"/>
    </row>
    <row r="69" spans="1:16" ht="11.25" customHeight="1" x14ac:dyDescent="0.25">
      <c r="A69" s="31">
        <v>68</v>
      </c>
      <c r="B69" s="31" t="s">
        <v>350</v>
      </c>
      <c r="C69" s="31" t="s">
        <v>22</v>
      </c>
      <c r="D69" s="31" t="s">
        <v>78</v>
      </c>
      <c r="E69" s="31" t="s">
        <v>24</v>
      </c>
      <c r="F69" s="31" t="s">
        <v>27</v>
      </c>
      <c r="G69" s="31" t="s">
        <v>25</v>
      </c>
      <c r="H69" s="31" t="s">
        <v>25</v>
      </c>
      <c r="I69" s="31" t="s">
        <v>25</v>
      </c>
      <c r="J69" s="31" t="s">
        <v>469</v>
      </c>
      <c r="K69" s="31" t="s">
        <v>468</v>
      </c>
      <c r="L69" s="31" t="s">
        <v>63</v>
      </c>
      <c r="M69" s="31">
        <v>2021</v>
      </c>
      <c r="N69" s="31">
        <v>0</v>
      </c>
      <c r="O69" s="31">
        <v>84.48</v>
      </c>
      <c r="P69" s="31"/>
    </row>
    <row r="70" spans="1:16" ht="11.25" customHeight="1" x14ac:dyDescent="0.25">
      <c r="A70" s="31">
        <v>69</v>
      </c>
      <c r="B70" s="31" t="s">
        <v>350</v>
      </c>
      <c r="C70" s="31" t="s">
        <v>39</v>
      </c>
      <c r="D70" s="31" t="s">
        <v>62</v>
      </c>
      <c r="E70" s="31" t="s">
        <v>40</v>
      </c>
      <c r="F70" s="31" t="s">
        <v>81</v>
      </c>
      <c r="G70" s="31" t="s">
        <v>25</v>
      </c>
      <c r="H70" s="31" t="s">
        <v>25</v>
      </c>
      <c r="I70" s="31" t="s">
        <v>470</v>
      </c>
      <c r="J70" s="31" t="s">
        <v>469</v>
      </c>
      <c r="K70" s="31" t="s">
        <v>468</v>
      </c>
      <c r="L70" s="31" t="s">
        <v>63</v>
      </c>
      <c r="M70" s="31">
        <v>2021</v>
      </c>
      <c r="N70" s="31">
        <v>0</v>
      </c>
      <c r="O70" s="31">
        <v>202.75</v>
      </c>
      <c r="P70" s="31"/>
    </row>
    <row r="71" spans="1:16" ht="11.25" customHeight="1" x14ac:dyDescent="0.25">
      <c r="A71" s="31">
        <v>70</v>
      </c>
      <c r="B71" s="31" t="s">
        <v>350</v>
      </c>
      <c r="C71" s="31" t="s">
        <v>22</v>
      </c>
      <c r="D71" s="31" t="s">
        <v>76</v>
      </c>
      <c r="E71" s="31" t="s">
        <v>24</v>
      </c>
      <c r="F71" s="31" t="s">
        <v>30</v>
      </c>
      <c r="G71" s="31" t="s">
        <v>25</v>
      </c>
      <c r="H71" s="31" t="s">
        <v>25</v>
      </c>
      <c r="I71" s="31" t="s">
        <v>25</v>
      </c>
      <c r="J71" s="31" t="s">
        <v>469</v>
      </c>
      <c r="K71" s="31" t="s">
        <v>468</v>
      </c>
      <c r="L71" s="31" t="s">
        <v>63</v>
      </c>
      <c r="M71" s="31">
        <v>2021</v>
      </c>
      <c r="N71" s="31">
        <v>0</v>
      </c>
      <c r="O71" s="31">
        <v>241.37</v>
      </c>
      <c r="P71" s="31"/>
    </row>
    <row r="72" spans="1:16" ht="11.25" customHeight="1" x14ac:dyDescent="0.25">
      <c r="A72" s="31">
        <v>71</v>
      </c>
      <c r="B72" s="31" t="s">
        <v>350</v>
      </c>
      <c r="C72" s="31" t="s">
        <v>39</v>
      </c>
      <c r="D72" s="31" t="s">
        <v>62</v>
      </c>
      <c r="E72" s="31" t="s">
        <v>40</v>
      </c>
      <c r="F72" s="31" t="s">
        <v>81</v>
      </c>
      <c r="G72" s="31" t="s">
        <v>25</v>
      </c>
      <c r="H72" s="31" t="s">
        <v>25</v>
      </c>
      <c r="I72" s="31" t="s">
        <v>35</v>
      </c>
      <c r="J72" s="31" t="s">
        <v>469</v>
      </c>
      <c r="K72" s="31" t="s">
        <v>468</v>
      </c>
      <c r="L72" s="31" t="s">
        <v>63</v>
      </c>
      <c r="M72" s="31">
        <v>2021</v>
      </c>
      <c r="N72" s="31">
        <v>0</v>
      </c>
      <c r="O72" s="31">
        <v>202.75</v>
      </c>
      <c r="P72" s="31"/>
    </row>
    <row r="73" spans="1:16" ht="11.25" customHeight="1" x14ac:dyDescent="0.25">
      <c r="A73" s="31">
        <v>72</v>
      </c>
      <c r="B73" s="31" t="s">
        <v>350</v>
      </c>
      <c r="C73" s="31" t="s">
        <v>39</v>
      </c>
      <c r="D73" s="31" t="s">
        <v>62</v>
      </c>
      <c r="E73" s="31" t="s">
        <v>40</v>
      </c>
      <c r="F73" s="31" t="s">
        <v>80</v>
      </c>
      <c r="G73" s="31" t="s">
        <v>25</v>
      </c>
      <c r="H73" s="31" t="s">
        <v>25</v>
      </c>
      <c r="I73" s="31" t="s">
        <v>36</v>
      </c>
      <c r="J73" s="31" t="s">
        <v>469</v>
      </c>
      <c r="K73" s="31" t="s">
        <v>468</v>
      </c>
      <c r="L73" s="31" t="s">
        <v>63</v>
      </c>
      <c r="M73" s="31">
        <v>2021</v>
      </c>
      <c r="N73" s="31">
        <v>0</v>
      </c>
      <c r="O73" s="31">
        <v>212.41</v>
      </c>
      <c r="P73" s="31"/>
    </row>
    <row r="74" spans="1:16" ht="11.25" customHeight="1" x14ac:dyDescent="0.25">
      <c r="A74" s="31">
        <v>73</v>
      </c>
      <c r="B74" s="31" t="s">
        <v>350</v>
      </c>
      <c r="C74" s="31" t="s">
        <v>22</v>
      </c>
      <c r="D74" s="31" t="s">
        <v>78</v>
      </c>
      <c r="E74" s="31" t="s">
        <v>24</v>
      </c>
      <c r="F74" s="31" t="s">
        <v>24</v>
      </c>
      <c r="G74" s="31" t="s">
        <v>25</v>
      </c>
      <c r="H74" s="31" t="s">
        <v>25</v>
      </c>
      <c r="I74" s="31" t="s">
        <v>25</v>
      </c>
      <c r="J74" s="31" t="s">
        <v>469</v>
      </c>
      <c r="K74" s="31" t="s">
        <v>468</v>
      </c>
      <c r="L74" s="31" t="s">
        <v>63</v>
      </c>
      <c r="M74" s="31">
        <v>2021</v>
      </c>
      <c r="N74" s="31">
        <v>0</v>
      </c>
      <c r="O74" s="31">
        <v>241.37</v>
      </c>
      <c r="P74" s="31"/>
    </row>
    <row r="75" spans="1:16" ht="11.25" customHeight="1" x14ac:dyDescent="0.25">
      <c r="A75" s="31">
        <v>74</v>
      </c>
      <c r="B75" s="31" t="s">
        <v>350</v>
      </c>
      <c r="C75" s="31" t="s">
        <v>39</v>
      </c>
      <c r="D75" s="31" t="s">
        <v>62</v>
      </c>
      <c r="E75" s="31" t="s">
        <v>40</v>
      </c>
      <c r="F75" s="31" t="s">
        <v>81</v>
      </c>
      <c r="G75" s="31" t="s">
        <v>25</v>
      </c>
      <c r="H75" s="31" t="s">
        <v>25</v>
      </c>
      <c r="I75" s="31" t="s">
        <v>36</v>
      </c>
      <c r="J75" s="31" t="s">
        <v>469</v>
      </c>
      <c r="K75" s="31" t="s">
        <v>468</v>
      </c>
      <c r="L75" s="31" t="s">
        <v>63</v>
      </c>
      <c r="M75" s="31">
        <v>2021</v>
      </c>
      <c r="N75" s="31">
        <v>0</v>
      </c>
      <c r="O75" s="31">
        <v>202.75</v>
      </c>
      <c r="P75" s="31"/>
    </row>
    <row r="76" spans="1:16" ht="11.25" customHeight="1" x14ac:dyDescent="0.25">
      <c r="A76" s="31">
        <v>75</v>
      </c>
      <c r="B76" s="31" t="s">
        <v>350</v>
      </c>
      <c r="C76" s="31" t="s">
        <v>22</v>
      </c>
      <c r="D76" s="31" t="s">
        <v>76</v>
      </c>
      <c r="E76" s="31" t="s">
        <v>24</v>
      </c>
      <c r="F76" s="31" t="s">
        <v>29</v>
      </c>
      <c r="G76" s="31" t="s">
        <v>25</v>
      </c>
      <c r="H76" s="31" t="s">
        <v>25</v>
      </c>
      <c r="I76" s="31" t="s">
        <v>25</v>
      </c>
      <c r="J76" s="31" t="s">
        <v>469</v>
      </c>
      <c r="K76" s="31" t="s">
        <v>468</v>
      </c>
      <c r="L76" s="31" t="s">
        <v>63</v>
      </c>
      <c r="M76" s="31">
        <v>2021</v>
      </c>
      <c r="N76" s="31">
        <v>0</v>
      </c>
      <c r="O76" s="31">
        <v>217.24</v>
      </c>
      <c r="P76" s="31"/>
    </row>
    <row r="77" spans="1:16" ht="11.25" customHeight="1" x14ac:dyDescent="0.25">
      <c r="A77" s="31">
        <v>76</v>
      </c>
      <c r="B77" s="31" t="s">
        <v>350</v>
      </c>
      <c r="C77" s="31" t="s">
        <v>39</v>
      </c>
      <c r="D77" s="31" t="s">
        <v>76</v>
      </c>
      <c r="E77" s="31" t="s">
        <v>40</v>
      </c>
      <c r="F77" s="31" t="s">
        <v>80</v>
      </c>
      <c r="G77" s="31" t="s">
        <v>25</v>
      </c>
      <c r="H77" s="31" t="s">
        <v>25</v>
      </c>
      <c r="I77" s="31" t="s">
        <v>25</v>
      </c>
      <c r="J77" s="31" t="s">
        <v>469</v>
      </c>
      <c r="K77" s="31" t="s">
        <v>468</v>
      </c>
      <c r="L77" s="31" t="s">
        <v>63</v>
      </c>
      <c r="M77" s="31">
        <v>2021</v>
      </c>
      <c r="N77" s="31">
        <v>0</v>
      </c>
      <c r="O77" s="31">
        <v>212.41</v>
      </c>
      <c r="P77" s="31"/>
    </row>
    <row r="78" spans="1:16" ht="11.25" customHeight="1" x14ac:dyDescent="0.25">
      <c r="A78" s="31">
        <v>77</v>
      </c>
      <c r="B78" s="31" t="s">
        <v>350</v>
      </c>
      <c r="C78" s="31" t="s">
        <v>39</v>
      </c>
      <c r="D78" s="31" t="s">
        <v>78</v>
      </c>
      <c r="E78" s="31" t="s">
        <v>40</v>
      </c>
      <c r="F78" s="31" t="s">
        <v>80</v>
      </c>
      <c r="G78" s="31" t="s">
        <v>25</v>
      </c>
      <c r="H78" s="31" t="s">
        <v>25</v>
      </c>
      <c r="I78" s="31" t="s">
        <v>25</v>
      </c>
      <c r="J78" s="31" t="s">
        <v>469</v>
      </c>
      <c r="K78" s="31" t="s">
        <v>468</v>
      </c>
      <c r="L78" s="31" t="s">
        <v>63</v>
      </c>
      <c r="M78" s="31">
        <v>2021</v>
      </c>
      <c r="N78" s="31">
        <v>0</v>
      </c>
      <c r="O78" s="31">
        <v>212.41</v>
      </c>
      <c r="P78" s="31"/>
    </row>
    <row r="79" spans="1:16" ht="11.25" customHeight="1" x14ac:dyDescent="0.25">
      <c r="A79" s="31">
        <v>78</v>
      </c>
      <c r="B79" s="31" t="s">
        <v>350</v>
      </c>
      <c r="C79" s="31" t="s">
        <v>39</v>
      </c>
      <c r="D79" s="31" t="s">
        <v>62</v>
      </c>
      <c r="E79" s="31" t="s">
        <v>40</v>
      </c>
      <c r="F79" s="31" t="s">
        <v>80</v>
      </c>
      <c r="G79" s="31" t="s">
        <v>25</v>
      </c>
      <c r="H79" s="31" t="s">
        <v>25</v>
      </c>
      <c r="I79" s="31" t="s">
        <v>35</v>
      </c>
      <c r="J79" s="31" t="s">
        <v>469</v>
      </c>
      <c r="K79" s="31" t="s">
        <v>468</v>
      </c>
      <c r="L79" s="31" t="s">
        <v>63</v>
      </c>
      <c r="M79" s="31">
        <v>2021</v>
      </c>
      <c r="N79" s="31">
        <v>0</v>
      </c>
      <c r="O79" s="31">
        <v>212.41</v>
      </c>
      <c r="P79" s="31"/>
    </row>
    <row r="80" spans="1:16" ht="11.25" customHeight="1" x14ac:dyDescent="0.25">
      <c r="A80" s="31">
        <v>79</v>
      </c>
      <c r="B80" s="31" t="s">
        <v>350</v>
      </c>
      <c r="C80" s="31" t="s">
        <v>31</v>
      </c>
      <c r="D80" s="31" t="s">
        <v>62</v>
      </c>
      <c r="E80" s="31" t="s">
        <v>25</v>
      </c>
      <c r="F80" s="31" t="s">
        <v>25</v>
      </c>
      <c r="G80" s="31" t="s">
        <v>25</v>
      </c>
      <c r="H80" s="31" t="s">
        <v>25</v>
      </c>
      <c r="I80" s="31" t="s">
        <v>36</v>
      </c>
      <c r="J80" s="31" t="s">
        <v>469</v>
      </c>
      <c r="K80" s="31" t="s">
        <v>468</v>
      </c>
      <c r="L80" s="31" t="s">
        <v>63</v>
      </c>
      <c r="M80" s="31">
        <v>2021</v>
      </c>
      <c r="N80" s="31">
        <v>0</v>
      </c>
      <c r="O80" s="31">
        <v>241.37</v>
      </c>
      <c r="P80" s="31"/>
    </row>
    <row r="81" spans="1:16" ht="11.25" customHeight="1" x14ac:dyDescent="0.25">
      <c r="A81" s="31">
        <v>80</v>
      </c>
      <c r="B81" s="31" t="s">
        <v>350</v>
      </c>
      <c r="C81" s="31" t="s">
        <v>31</v>
      </c>
      <c r="D81" s="31" t="s">
        <v>76</v>
      </c>
      <c r="E81" s="31" t="s">
        <v>25</v>
      </c>
      <c r="F81" s="31" t="s">
        <v>25</v>
      </c>
      <c r="G81" s="31" t="s">
        <v>25</v>
      </c>
      <c r="H81" s="31" t="s">
        <v>25</v>
      </c>
      <c r="I81" s="31" t="s">
        <v>25</v>
      </c>
      <c r="J81" s="31" t="s">
        <v>469</v>
      </c>
      <c r="K81" s="31" t="s">
        <v>468</v>
      </c>
      <c r="L81" s="31" t="s">
        <v>63</v>
      </c>
      <c r="M81" s="31">
        <v>2021</v>
      </c>
      <c r="N81" s="31">
        <v>0</v>
      </c>
      <c r="O81" s="31">
        <v>241.37</v>
      </c>
      <c r="P81" s="31"/>
    </row>
    <row r="82" spans="1:16" ht="11.25" customHeight="1" x14ac:dyDescent="0.25">
      <c r="A82" s="31">
        <v>81</v>
      </c>
      <c r="B82" s="31" t="s">
        <v>350</v>
      </c>
      <c r="C82" s="31" t="s">
        <v>31</v>
      </c>
      <c r="D82" s="31" t="s">
        <v>62</v>
      </c>
      <c r="E82" s="31" t="s">
        <v>25</v>
      </c>
      <c r="F82" s="31" t="s">
        <v>25</v>
      </c>
      <c r="G82" s="31" t="s">
        <v>25</v>
      </c>
      <c r="H82" s="31" t="s">
        <v>25</v>
      </c>
      <c r="I82" s="31" t="s">
        <v>470</v>
      </c>
      <c r="J82" s="31" t="s">
        <v>469</v>
      </c>
      <c r="K82" s="31" t="s">
        <v>468</v>
      </c>
      <c r="L82" s="31" t="s">
        <v>63</v>
      </c>
      <c r="M82" s="31">
        <v>2021</v>
      </c>
      <c r="N82" s="31">
        <v>0</v>
      </c>
      <c r="O82" s="31">
        <v>241.37</v>
      </c>
      <c r="P82" s="31"/>
    </row>
    <row r="83" spans="1:16" ht="11.25" customHeight="1" x14ac:dyDescent="0.25">
      <c r="A83" s="31">
        <v>82</v>
      </c>
      <c r="B83" s="31" t="s">
        <v>350</v>
      </c>
      <c r="C83" s="31" t="s">
        <v>42</v>
      </c>
      <c r="D83" s="31" t="s">
        <v>76</v>
      </c>
      <c r="E83" s="31" t="s">
        <v>43</v>
      </c>
      <c r="F83" s="31" t="s">
        <v>44</v>
      </c>
      <c r="G83" s="31" t="s">
        <v>25</v>
      </c>
      <c r="H83" s="31" t="s">
        <v>25</v>
      </c>
      <c r="I83" s="31" t="s">
        <v>25</v>
      </c>
      <c r="J83" s="31" t="s">
        <v>469</v>
      </c>
      <c r="K83" s="31" t="s">
        <v>468</v>
      </c>
      <c r="L83" s="31" t="s">
        <v>63</v>
      </c>
      <c r="M83" s="31">
        <v>2021</v>
      </c>
      <c r="N83" s="31">
        <v>0</v>
      </c>
      <c r="O83" s="31">
        <v>144.82</v>
      </c>
      <c r="P83" s="31"/>
    </row>
    <row r="84" spans="1:16" ht="11.25" customHeight="1" x14ac:dyDescent="0.25">
      <c r="A84" s="31">
        <v>83</v>
      </c>
      <c r="B84" s="31" t="s">
        <v>350</v>
      </c>
      <c r="C84" s="31" t="s">
        <v>31</v>
      </c>
      <c r="D84" s="31" t="s">
        <v>78</v>
      </c>
      <c r="E84" s="31" t="s">
        <v>25</v>
      </c>
      <c r="F84" s="31" t="s">
        <v>25</v>
      </c>
      <c r="G84" s="31" t="s">
        <v>25</v>
      </c>
      <c r="H84" s="31" t="s">
        <v>25</v>
      </c>
      <c r="I84" s="31" t="s">
        <v>25</v>
      </c>
      <c r="J84" s="31" t="s">
        <v>469</v>
      </c>
      <c r="K84" s="31" t="s">
        <v>468</v>
      </c>
      <c r="L84" s="31" t="s">
        <v>63</v>
      </c>
      <c r="M84" s="31">
        <v>2021</v>
      </c>
      <c r="N84" s="31">
        <v>0</v>
      </c>
      <c r="O84" s="31">
        <v>241.37</v>
      </c>
      <c r="P84" s="31"/>
    </row>
    <row r="85" spans="1:16" ht="11.25" customHeight="1" x14ac:dyDescent="0.25">
      <c r="A85" s="31">
        <v>84</v>
      </c>
      <c r="B85" s="31" t="s">
        <v>350</v>
      </c>
      <c r="C85" s="31" t="s">
        <v>42</v>
      </c>
      <c r="D85" s="31" t="s">
        <v>76</v>
      </c>
      <c r="E85" s="31" t="s">
        <v>43</v>
      </c>
      <c r="F85" s="31" t="s">
        <v>82</v>
      </c>
      <c r="G85" s="31" t="s">
        <v>25</v>
      </c>
      <c r="H85" s="31" t="s">
        <v>25</v>
      </c>
      <c r="I85" s="31" t="s">
        <v>25</v>
      </c>
      <c r="J85" s="31" t="s">
        <v>469</v>
      </c>
      <c r="K85" s="31" t="s">
        <v>468</v>
      </c>
      <c r="L85" s="31" t="s">
        <v>63</v>
      </c>
      <c r="M85" s="31">
        <v>2021</v>
      </c>
      <c r="N85" s="31">
        <v>0</v>
      </c>
      <c r="O85" s="31">
        <v>132.76</v>
      </c>
      <c r="P85" s="31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7628-2090-4F3E-9260-B49B32A193CA}">
  <dimension ref="B1:AT49"/>
  <sheetViews>
    <sheetView showGridLines="0" tabSelected="1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1.140625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32" t="s">
        <v>999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</row>
    <row r="2" spans="2:46" ht="12" customHeight="1" x14ac:dyDescent="0.25">
      <c r="L2" s="133" t="s">
        <v>323</v>
      </c>
      <c r="M2" s="133"/>
      <c r="N2" s="133"/>
      <c r="O2" s="133"/>
      <c r="P2" s="133"/>
      <c r="Q2" s="133"/>
      <c r="R2" s="133"/>
      <c r="S2" s="134"/>
      <c r="T2" s="133" t="s">
        <v>332</v>
      </c>
      <c r="U2" s="133"/>
      <c r="V2" s="133"/>
      <c r="W2" s="133"/>
      <c r="X2" s="133"/>
      <c r="Y2" s="133"/>
      <c r="Z2" s="134"/>
      <c r="AA2" s="135" t="s">
        <v>340</v>
      </c>
      <c r="AB2" s="133" t="s">
        <v>25</v>
      </c>
      <c r="AC2" s="133"/>
      <c r="AD2" s="134"/>
      <c r="AE2" s="133" t="s">
        <v>998</v>
      </c>
      <c r="AF2" s="133"/>
      <c r="AG2" s="133"/>
      <c r="AH2" s="134"/>
      <c r="AI2" s="133" t="s">
        <v>323</v>
      </c>
      <c r="AJ2" s="133"/>
      <c r="AK2" s="133"/>
      <c r="AL2" s="133"/>
      <c r="AM2" s="134"/>
      <c r="AN2" s="135" t="s">
        <v>354</v>
      </c>
      <c r="AO2" s="133" t="s">
        <v>332</v>
      </c>
      <c r="AP2" s="133"/>
      <c r="AQ2" s="133"/>
      <c r="AR2" s="133"/>
      <c r="AS2" s="134"/>
      <c r="AT2" s="136" t="s">
        <v>998</v>
      </c>
    </row>
    <row r="3" spans="2:46" ht="12" customHeight="1" x14ac:dyDescent="0.25">
      <c r="B3" s="123" t="s">
        <v>53</v>
      </c>
      <c r="C3" s="124" t="s">
        <v>54</v>
      </c>
      <c r="D3" s="124" t="s">
        <v>55</v>
      </c>
      <c r="E3" s="124" t="s">
        <v>56</v>
      </c>
      <c r="F3" s="124" t="s">
        <v>57</v>
      </c>
      <c r="G3" s="124" t="s">
        <v>59</v>
      </c>
      <c r="H3" s="124" t="s">
        <v>60</v>
      </c>
      <c r="I3" s="124" t="s">
        <v>601</v>
      </c>
      <c r="J3" s="124" t="s">
        <v>960</v>
      </c>
      <c r="K3" s="124" t="s">
        <v>961</v>
      </c>
      <c r="L3" s="124" t="s">
        <v>962</v>
      </c>
      <c r="M3" s="124" t="s">
        <v>963</v>
      </c>
      <c r="N3" s="124" t="s">
        <v>964</v>
      </c>
      <c r="O3" s="124" t="s">
        <v>965</v>
      </c>
      <c r="P3" s="124" t="s">
        <v>966</v>
      </c>
      <c r="Q3" s="124" t="s">
        <v>967</v>
      </c>
      <c r="R3" s="124" t="s">
        <v>968</v>
      </c>
      <c r="S3" s="124" t="s">
        <v>969</v>
      </c>
      <c r="T3" s="124" t="s">
        <v>970</v>
      </c>
      <c r="U3" s="124" t="s">
        <v>971</v>
      </c>
      <c r="V3" s="124" t="s">
        <v>972</v>
      </c>
      <c r="W3" s="124" t="s">
        <v>973</v>
      </c>
      <c r="X3" s="124" t="s">
        <v>974</v>
      </c>
      <c r="Y3" s="124" t="s">
        <v>975</v>
      </c>
      <c r="Z3" s="124" t="s">
        <v>976</v>
      </c>
      <c r="AA3" s="124" t="s">
        <v>977</v>
      </c>
      <c r="AB3" s="124" t="s">
        <v>978</v>
      </c>
      <c r="AC3" s="124" t="s">
        <v>979</v>
      </c>
      <c r="AD3" s="124" t="s">
        <v>980</v>
      </c>
      <c r="AE3" s="124" t="s">
        <v>981</v>
      </c>
      <c r="AF3" s="124" t="s">
        <v>982</v>
      </c>
      <c r="AG3" s="124" t="s">
        <v>983</v>
      </c>
      <c r="AH3" s="124" t="s">
        <v>984</v>
      </c>
      <c r="AI3" s="124" t="s">
        <v>985</v>
      </c>
      <c r="AJ3" s="124" t="s">
        <v>986</v>
      </c>
      <c r="AK3" s="124" t="s">
        <v>987</v>
      </c>
      <c r="AL3" s="124" t="s">
        <v>988</v>
      </c>
      <c r="AM3" s="124" t="s">
        <v>989</v>
      </c>
      <c r="AN3" s="124" t="s">
        <v>990</v>
      </c>
      <c r="AO3" s="124" t="s">
        <v>991</v>
      </c>
      <c r="AP3" s="124" t="s">
        <v>992</v>
      </c>
      <c r="AQ3" s="124" t="s">
        <v>993</v>
      </c>
      <c r="AR3" s="124" t="s">
        <v>994</v>
      </c>
      <c r="AS3" s="124" t="s">
        <v>995</v>
      </c>
      <c r="AT3" s="125" t="s">
        <v>996</v>
      </c>
    </row>
    <row r="4" spans="2:46" ht="12" customHeight="1" x14ac:dyDescent="0.25">
      <c r="B4" s="126" t="s">
        <v>33</v>
      </c>
      <c r="C4" s="127" t="s">
        <v>34</v>
      </c>
      <c r="D4" s="127" t="s">
        <v>25</v>
      </c>
      <c r="E4" s="127" t="s">
        <v>25</v>
      </c>
      <c r="F4" s="127" t="s">
        <v>70</v>
      </c>
      <c r="G4" s="127" t="s">
        <v>35</v>
      </c>
      <c r="H4" s="127" t="s">
        <v>63</v>
      </c>
      <c r="I4" s="127" t="s">
        <v>25</v>
      </c>
      <c r="J4" s="127">
        <v>0</v>
      </c>
      <c r="K4" s="127">
        <v>0</v>
      </c>
      <c r="L4" s="127">
        <v>0</v>
      </c>
      <c r="M4" s="127">
        <v>0</v>
      </c>
      <c r="N4" s="127">
        <v>0</v>
      </c>
      <c r="O4" s="127">
        <v>0</v>
      </c>
      <c r="P4" s="127">
        <v>0</v>
      </c>
      <c r="Q4" s="127">
        <v>0</v>
      </c>
      <c r="R4" s="127">
        <v>0</v>
      </c>
      <c r="S4" s="127">
        <v>0</v>
      </c>
      <c r="T4" s="127">
        <v>0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0</v>
      </c>
      <c r="AA4" s="127">
        <v>0</v>
      </c>
      <c r="AB4" s="127">
        <v>0</v>
      </c>
      <c r="AC4" s="127">
        <v>0</v>
      </c>
      <c r="AD4" s="127">
        <v>0</v>
      </c>
      <c r="AE4" s="127">
        <v>0</v>
      </c>
      <c r="AF4" s="127">
        <v>0</v>
      </c>
      <c r="AG4" s="127">
        <v>0</v>
      </c>
      <c r="AH4" s="127">
        <v>0</v>
      </c>
      <c r="AI4" s="127">
        <v>0</v>
      </c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27">
        <v>0</v>
      </c>
      <c r="AR4" s="127">
        <v>0</v>
      </c>
      <c r="AS4" s="127">
        <v>0</v>
      </c>
      <c r="AT4" s="128">
        <v>0</v>
      </c>
    </row>
    <row r="5" spans="2:46" ht="12" customHeight="1" x14ac:dyDescent="0.25">
      <c r="B5" s="126" t="s">
        <v>33</v>
      </c>
      <c r="C5" s="127" t="s">
        <v>34</v>
      </c>
      <c r="D5" s="127" t="s">
        <v>25</v>
      </c>
      <c r="E5" s="127" t="s">
        <v>25</v>
      </c>
      <c r="F5" s="127" t="s">
        <v>70</v>
      </c>
      <c r="G5" s="127" t="s">
        <v>35</v>
      </c>
      <c r="H5" s="127" t="s">
        <v>66</v>
      </c>
      <c r="I5" s="127" t="s">
        <v>25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>
        <v>0</v>
      </c>
      <c r="AN5" s="127">
        <v>0</v>
      </c>
      <c r="AO5" s="127">
        <v>0</v>
      </c>
      <c r="AP5" s="127">
        <v>0</v>
      </c>
      <c r="AQ5" s="127">
        <v>0</v>
      </c>
      <c r="AR5" s="127">
        <v>0</v>
      </c>
      <c r="AS5" s="127">
        <v>0</v>
      </c>
      <c r="AT5" s="128">
        <v>0</v>
      </c>
    </row>
    <row r="6" spans="2:46" ht="12" customHeight="1" x14ac:dyDescent="0.25">
      <c r="B6" s="126" t="s">
        <v>33</v>
      </c>
      <c r="C6" s="127" t="s">
        <v>34</v>
      </c>
      <c r="D6" s="127" t="s">
        <v>25</v>
      </c>
      <c r="E6" s="127" t="s">
        <v>25</v>
      </c>
      <c r="F6" s="127" t="s">
        <v>70</v>
      </c>
      <c r="G6" s="127" t="s">
        <v>36</v>
      </c>
      <c r="H6" s="127" t="s">
        <v>63</v>
      </c>
      <c r="I6" s="127" t="s">
        <v>25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>
        <v>0</v>
      </c>
      <c r="AN6" s="127">
        <v>0</v>
      </c>
      <c r="AO6" s="127">
        <v>0</v>
      </c>
      <c r="AP6" s="127">
        <v>0</v>
      </c>
      <c r="AQ6" s="127">
        <v>0</v>
      </c>
      <c r="AR6" s="127">
        <v>0</v>
      </c>
      <c r="AS6" s="127">
        <v>0</v>
      </c>
      <c r="AT6" s="128">
        <v>0</v>
      </c>
    </row>
    <row r="7" spans="2:46" ht="12" customHeight="1" x14ac:dyDescent="0.25">
      <c r="B7" s="126" t="s">
        <v>33</v>
      </c>
      <c r="C7" s="127" t="s">
        <v>34</v>
      </c>
      <c r="D7" s="127" t="s">
        <v>25</v>
      </c>
      <c r="E7" s="127" t="s">
        <v>25</v>
      </c>
      <c r="F7" s="127" t="s">
        <v>70</v>
      </c>
      <c r="G7" s="127" t="s">
        <v>36</v>
      </c>
      <c r="H7" s="127" t="s">
        <v>66</v>
      </c>
      <c r="I7" s="127" t="s">
        <v>25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0</v>
      </c>
      <c r="AN7" s="127">
        <v>0</v>
      </c>
      <c r="AO7" s="127">
        <v>0</v>
      </c>
      <c r="AP7" s="127">
        <v>0</v>
      </c>
      <c r="AQ7" s="127">
        <v>0</v>
      </c>
      <c r="AR7" s="127">
        <v>0</v>
      </c>
      <c r="AS7" s="127">
        <v>0</v>
      </c>
      <c r="AT7" s="128">
        <v>0</v>
      </c>
    </row>
    <row r="8" spans="2:46" ht="12" customHeight="1" x14ac:dyDescent="0.25">
      <c r="B8" s="126" t="s">
        <v>33</v>
      </c>
      <c r="C8" s="127" t="s">
        <v>34</v>
      </c>
      <c r="D8" s="127" t="s">
        <v>25</v>
      </c>
      <c r="E8" s="127" t="s">
        <v>25</v>
      </c>
      <c r="F8" s="127" t="s">
        <v>25</v>
      </c>
      <c r="G8" s="127" t="s">
        <v>35</v>
      </c>
      <c r="H8" s="127" t="s">
        <v>63</v>
      </c>
      <c r="I8" s="127" t="s">
        <v>25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0</v>
      </c>
      <c r="AP8" s="127">
        <v>0</v>
      </c>
      <c r="AQ8" s="127">
        <v>0</v>
      </c>
      <c r="AR8" s="127">
        <v>0</v>
      </c>
      <c r="AS8" s="127">
        <v>0</v>
      </c>
      <c r="AT8" s="128">
        <v>0</v>
      </c>
    </row>
    <row r="9" spans="2:46" ht="12" customHeight="1" x14ac:dyDescent="0.25">
      <c r="B9" s="126" t="s">
        <v>33</v>
      </c>
      <c r="C9" s="127" t="s">
        <v>34</v>
      </c>
      <c r="D9" s="127" t="s">
        <v>25</v>
      </c>
      <c r="E9" s="127" t="s">
        <v>25</v>
      </c>
      <c r="F9" s="127" t="s">
        <v>25</v>
      </c>
      <c r="G9" s="127" t="s">
        <v>35</v>
      </c>
      <c r="H9" s="127" t="s">
        <v>66</v>
      </c>
      <c r="I9" s="127" t="s">
        <v>25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8">
        <v>0</v>
      </c>
    </row>
    <row r="10" spans="2:46" ht="12" customHeight="1" x14ac:dyDescent="0.25">
      <c r="B10" s="126" t="s">
        <v>33</v>
      </c>
      <c r="C10" s="127" t="s">
        <v>34</v>
      </c>
      <c r="D10" s="127" t="s">
        <v>25</v>
      </c>
      <c r="E10" s="127" t="s">
        <v>25</v>
      </c>
      <c r="F10" s="127" t="s">
        <v>25</v>
      </c>
      <c r="G10" s="127" t="s">
        <v>36</v>
      </c>
      <c r="H10" s="127" t="s">
        <v>63</v>
      </c>
      <c r="I10" s="127" t="s">
        <v>25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8">
        <v>0</v>
      </c>
    </row>
    <row r="11" spans="2:46" ht="12" customHeight="1" x14ac:dyDescent="0.25">
      <c r="B11" s="126" t="s">
        <v>33</v>
      </c>
      <c r="C11" s="127" t="s">
        <v>34</v>
      </c>
      <c r="D11" s="127" t="s">
        <v>25</v>
      </c>
      <c r="E11" s="127" t="s">
        <v>25</v>
      </c>
      <c r="F11" s="127" t="s">
        <v>25</v>
      </c>
      <c r="G11" s="127" t="s">
        <v>36</v>
      </c>
      <c r="H11" s="127" t="s">
        <v>66</v>
      </c>
      <c r="I11" s="127" t="s">
        <v>25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8">
        <v>0</v>
      </c>
    </row>
    <row r="12" spans="2:46" ht="12" customHeight="1" x14ac:dyDescent="0.25">
      <c r="B12" s="126" t="s">
        <v>33</v>
      </c>
      <c r="C12" s="127" t="s">
        <v>71</v>
      </c>
      <c r="D12" s="127" t="s">
        <v>25</v>
      </c>
      <c r="E12" s="127" t="s">
        <v>25</v>
      </c>
      <c r="F12" s="127" t="s">
        <v>25</v>
      </c>
      <c r="G12" s="127" t="s">
        <v>25</v>
      </c>
      <c r="H12" s="127" t="s">
        <v>66</v>
      </c>
      <c r="I12" s="127" t="s">
        <v>25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>
        <v>0</v>
      </c>
      <c r="AN12" s="127">
        <v>0</v>
      </c>
      <c r="AO12" s="127">
        <v>0</v>
      </c>
      <c r="AP12" s="127">
        <v>0</v>
      </c>
      <c r="AQ12" s="127">
        <v>0</v>
      </c>
      <c r="AR12" s="127">
        <v>0</v>
      </c>
      <c r="AS12" s="127">
        <v>0</v>
      </c>
      <c r="AT12" s="128">
        <v>0</v>
      </c>
    </row>
    <row r="13" spans="2:46" ht="12" customHeight="1" x14ac:dyDescent="0.25">
      <c r="B13" s="126" t="s">
        <v>33</v>
      </c>
      <c r="C13" s="127" t="s">
        <v>37</v>
      </c>
      <c r="D13" s="127" t="s">
        <v>25</v>
      </c>
      <c r="E13" s="127" t="s">
        <v>25</v>
      </c>
      <c r="F13" s="127" t="s">
        <v>70</v>
      </c>
      <c r="G13" s="127" t="s">
        <v>35</v>
      </c>
      <c r="H13" s="127" t="s">
        <v>63</v>
      </c>
      <c r="I13" s="127" t="s">
        <v>25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>
        <v>0</v>
      </c>
      <c r="AN13" s="127">
        <v>0</v>
      </c>
      <c r="AO13" s="127">
        <v>0</v>
      </c>
      <c r="AP13" s="127">
        <v>0</v>
      </c>
      <c r="AQ13" s="127">
        <v>0</v>
      </c>
      <c r="AR13" s="127">
        <v>0</v>
      </c>
      <c r="AS13" s="127">
        <v>0</v>
      </c>
      <c r="AT13" s="128">
        <v>0</v>
      </c>
    </row>
    <row r="14" spans="2:46" ht="12" customHeight="1" x14ac:dyDescent="0.25">
      <c r="B14" s="126" t="s">
        <v>33</v>
      </c>
      <c r="C14" s="127" t="s">
        <v>37</v>
      </c>
      <c r="D14" s="127" t="s">
        <v>25</v>
      </c>
      <c r="E14" s="127" t="s">
        <v>25</v>
      </c>
      <c r="F14" s="127" t="s">
        <v>70</v>
      </c>
      <c r="G14" s="127" t="s">
        <v>25</v>
      </c>
      <c r="H14" s="127" t="s">
        <v>66</v>
      </c>
      <c r="I14" s="127" t="s">
        <v>25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0</v>
      </c>
      <c r="V14" s="127">
        <v>0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0</v>
      </c>
      <c r="AO14" s="127">
        <v>0</v>
      </c>
      <c r="AP14" s="127">
        <v>0</v>
      </c>
      <c r="AQ14" s="127">
        <v>0</v>
      </c>
      <c r="AR14" s="127">
        <v>0</v>
      </c>
      <c r="AS14" s="127">
        <v>0</v>
      </c>
      <c r="AT14" s="128">
        <v>0</v>
      </c>
    </row>
    <row r="15" spans="2:46" ht="12" customHeight="1" x14ac:dyDescent="0.25">
      <c r="B15" s="126" t="s">
        <v>33</v>
      </c>
      <c r="C15" s="127" t="s">
        <v>37</v>
      </c>
      <c r="D15" s="127" t="s">
        <v>25</v>
      </c>
      <c r="E15" s="127" t="s">
        <v>25</v>
      </c>
      <c r="F15" s="127" t="s">
        <v>70</v>
      </c>
      <c r="G15" s="127" t="s">
        <v>36</v>
      </c>
      <c r="H15" s="127" t="s">
        <v>63</v>
      </c>
      <c r="I15" s="127" t="s">
        <v>25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0</v>
      </c>
      <c r="AD15" s="127">
        <v>0</v>
      </c>
      <c r="AE15" s="127">
        <v>0</v>
      </c>
      <c r="AF15" s="127">
        <v>0</v>
      </c>
      <c r="AG15" s="127">
        <v>0</v>
      </c>
      <c r="AH15" s="127">
        <v>0</v>
      </c>
      <c r="AI15" s="127">
        <v>0</v>
      </c>
      <c r="AJ15" s="127">
        <v>0</v>
      </c>
      <c r="AK15" s="127">
        <v>0</v>
      </c>
      <c r="AL15" s="127">
        <v>0</v>
      </c>
      <c r="AM15" s="127">
        <v>0</v>
      </c>
      <c r="AN15" s="127">
        <v>0</v>
      </c>
      <c r="AO15" s="127">
        <v>0</v>
      </c>
      <c r="AP15" s="127">
        <v>0</v>
      </c>
      <c r="AQ15" s="127">
        <v>0</v>
      </c>
      <c r="AR15" s="127">
        <v>0</v>
      </c>
      <c r="AS15" s="127">
        <v>0</v>
      </c>
      <c r="AT15" s="128">
        <v>0</v>
      </c>
    </row>
    <row r="16" spans="2:46" ht="12" customHeight="1" x14ac:dyDescent="0.25">
      <c r="B16" s="126" t="s">
        <v>33</v>
      </c>
      <c r="C16" s="127" t="s">
        <v>37</v>
      </c>
      <c r="D16" s="127" t="s">
        <v>25</v>
      </c>
      <c r="E16" s="127" t="s">
        <v>25</v>
      </c>
      <c r="F16" s="127" t="s">
        <v>25</v>
      </c>
      <c r="G16" s="127" t="s">
        <v>35</v>
      </c>
      <c r="H16" s="127" t="s">
        <v>63</v>
      </c>
      <c r="I16" s="127" t="s">
        <v>25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27">
        <v>0</v>
      </c>
      <c r="U16" s="127">
        <v>0</v>
      </c>
      <c r="V16" s="127">
        <v>0</v>
      </c>
      <c r="W16" s="127">
        <v>0</v>
      </c>
      <c r="X16" s="127">
        <v>0</v>
      </c>
      <c r="Y16" s="127">
        <v>0</v>
      </c>
      <c r="Z16" s="127">
        <v>0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>
        <v>0</v>
      </c>
      <c r="AN16" s="127">
        <v>0</v>
      </c>
      <c r="AO16" s="127">
        <v>0</v>
      </c>
      <c r="AP16" s="127">
        <v>0</v>
      </c>
      <c r="AQ16" s="127">
        <v>0</v>
      </c>
      <c r="AR16" s="127">
        <v>0</v>
      </c>
      <c r="AS16" s="127">
        <v>0</v>
      </c>
      <c r="AT16" s="128">
        <v>0</v>
      </c>
    </row>
    <row r="17" spans="2:46" ht="12" customHeight="1" x14ac:dyDescent="0.25">
      <c r="B17" s="126" t="s">
        <v>33</v>
      </c>
      <c r="C17" s="127" t="s">
        <v>37</v>
      </c>
      <c r="D17" s="127" t="s">
        <v>25</v>
      </c>
      <c r="E17" s="127" t="s">
        <v>25</v>
      </c>
      <c r="F17" s="127" t="s">
        <v>25</v>
      </c>
      <c r="G17" s="127" t="s">
        <v>25</v>
      </c>
      <c r="H17" s="127" t="s">
        <v>66</v>
      </c>
      <c r="I17" s="127" t="s">
        <v>25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>
        <v>0</v>
      </c>
      <c r="AN17" s="127">
        <v>0</v>
      </c>
      <c r="AO17" s="127">
        <v>0</v>
      </c>
      <c r="AP17" s="127">
        <v>0</v>
      </c>
      <c r="AQ17" s="127">
        <v>0</v>
      </c>
      <c r="AR17" s="127">
        <v>0</v>
      </c>
      <c r="AS17" s="127">
        <v>0</v>
      </c>
      <c r="AT17" s="128">
        <v>0</v>
      </c>
    </row>
    <row r="18" spans="2:46" ht="12" customHeight="1" x14ac:dyDescent="0.25">
      <c r="B18" s="126" t="s">
        <v>33</v>
      </c>
      <c r="C18" s="127" t="s">
        <v>37</v>
      </c>
      <c r="D18" s="127" t="s">
        <v>25</v>
      </c>
      <c r="E18" s="127" t="s">
        <v>25</v>
      </c>
      <c r="F18" s="127" t="s">
        <v>25</v>
      </c>
      <c r="G18" s="127" t="s">
        <v>36</v>
      </c>
      <c r="H18" s="127" t="s">
        <v>63</v>
      </c>
      <c r="I18" s="127" t="s">
        <v>25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>
        <v>0</v>
      </c>
      <c r="AN18" s="127">
        <v>0</v>
      </c>
      <c r="AO18" s="127">
        <v>0</v>
      </c>
      <c r="AP18" s="127">
        <v>0</v>
      </c>
      <c r="AQ18" s="127">
        <v>0</v>
      </c>
      <c r="AR18" s="127">
        <v>0</v>
      </c>
      <c r="AS18" s="127">
        <v>0</v>
      </c>
      <c r="AT18" s="128">
        <v>0</v>
      </c>
    </row>
    <row r="19" spans="2:46" ht="12" customHeight="1" x14ac:dyDescent="0.25">
      <c r="B19" s="126" t="s">
        <v>72</v>
      </c>
      <c r="C19" s="127" t="s">
        <v>71</v>
      </c>
      <c r="D19" s="127" t="s">
        <v>25</v>
      </c>
      <c r="E19" s="127" t="s">
        <v>25</v>
      </c>
      <c r="F19" s="127" t="s">
        <v>73</v>
      </c>
      <c r="G19" s="127" t="s">
        <v>25</v>
      </c>
      <c r="H19" s="127" t="s">
        <v>66</v>
      </c>
      <c r="I19" s="127" t="s">
        <v>25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>
        <v>0</v>
      </c>
      <c r="AN19" s="127">
        <v>0</v>
      </c>
      <c r="AO19" s="127">
        <v>0</v>
      </c>
      <c r="AP19" s="127">
        <v>0</v>
      </c>
      <c r="AQ19" s="127">
        <v>0</v>
      </c>
      <c r="AR19" s="127">
        <v>0</v>
      </c>
      <c r="AS19" s="127">
        <v>0</v>
      </c>
      <c r="AT19" s="128">
        <v>0</v>
      </c>
    </row>
    <row r="20" spans="2:46" ht="12" customHeight="1" x14ac:dyDescent="0.25">
      <c r="B20" s="126" t="s">
        <v>72</v>
      </c>
      <c r="C20" s="127" t="s">
        <v>71</v>
      </c>
      <c r="D20" s="127" t="s">
        <v>25</v>
      </c>
      <c r="E20" s="127" t="s">
        <v>25</v>
      </c>
      <c r="F20" s="127" t="s">
        <v>74</v>
      </c>
      <c r="G20" s="127" t="s">
        <v>25</v>
      </c>
      <c r="H20" s="127" t="s">
        <v>66</v>
      </c>
      <c r="I20" s="127" t="s">
        <v>25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>
        <v>0</v>
      </c>
      <c r="AN20" s="127">
        <v>0</v>
      </c>
      <c r="AO20" s="127">
        <v>0</v>
      </c>
      <c r="AP20" s="127">
        <v>0</v>
      </c>
      <c r="AQ20" s="127">
        <v>0</v>
      </c>
      <c r="AR20" s="127">
        <v>0</v>
      </c>
      <c r="AS20" s="127">
        <v>0</v>
      </c>
      <c r="AT20" s="128">
        <v>0</v>
      </c>
    </row>
    <row r="21" spans="2:46" ht="12" customHeight="1" x14ac:dyDescent="0.25">
      <c r="B21" s="126" t="s">
        <v>22</v>
      </c>
      <c r="C21" s="127" t="s">
        <v>77</v>
      </c>
      <c r="D21" s="127" t="s">
        <v>24</v>
      </c>
      <c r="E21" s="127" t="s">
        <v>24</v>
      </c>
      <c r="F21" s="127" t="s">
        <v>25</v>
      </c>
      <c r="G21" s="127" t="s">
        <v>35</v>
      </c>
      <c r="H21" s="127" t="s">
        <v>63</v>
      </c>
      <c r="I21" s="127" t="s">
        <v>25</v>
      </c>
      <c r="J21" s="127">
        <v>0</v>
      </c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>
        <v>0</v>
      </c>
      <c r="AN21" s="127">
        <v>0</v>
      </c>
      <c r="AO21" s="127">
        <v>0</v>
      </c>
      <c r="AP21" s="127">
        <v>0</v>
      </c>
      <c r="AQ21" s="127">
        <v>0</v>
      </c>
      <c r="AR21" s="127">
        <v>0</v>
      </c>
      <c r="AS21" s="127">
        <v>0</v>
      </c>
      <c r="AT21" s="128">
        <v>0</v>
      </c>
    </row>
    <row r="22" spans="2:46" ht="12" customHeight="1" x14ac:dyDescent="0.25">
      <c r="B22" s="126" t="s">
        <v>22</v>
      </c>
      <c r="C22" s="127" t="s">
        <v>77</v>
      </c>
      <c r="D22" s="127" t="s">
        <v>24</v>
      </c>
      <c r="E22" s="127" t="s">
        <v>24</v>
      </c>
      <c r="F22" s="127" t="s">
        <v>25</v>
      </c>
      <c r="G22" s="127" t="s">
        <v>470</v>
      </c>
      <c r="H22" s="127" t="s">
        <v>63</v>
      </c>
      <c r="I22" s="127" t="s">
        <v>25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>
        <v>0</v>
      </c>
      <c r="AN22" s="127">
        <v>0</v>
      </c>
      <c r="AO22" s="127">
        <v>0</v>
      </c>
      <c r="AP22" s="127">
        <v>0</v>
      </c>
      <c r="AQ22" s="127">
        <v>0</v>
      </c>
      <c r="AR22" s="127">
        <v>0</v>
      </c>
      <c r="AS22" s="127">
        <v>0</v>
      </c>
      <c r="AT22" s="128">
        <v>0</v>
      </c>
    </row>
    <row r="23" spans="2:46" ht="12" customHeight="1" x14ac:dyDescent="0.25">
      <c r="B23" s="126" t="s">
        <v>22</v>
      </c>
      <c r="C23" s="127" t="s">
        <v>77</v>
      </c>
      <c r="D23" s="127" t="s">
        <v>24</v>
      </c>
      <c r="E23" s="127" t="s">
        <v>24</v>
      </c>
      <c r="F23" s="127" t="s">
        <v>25</v>
      </c>
      <c r="G23" s="127" t="s">
        <v>36</v>
      </c>
      <c r="H23" s="127" t="s">
        <v>63</v>
      </c>
      <c r="I23" s="127" t="s">
        <v>25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>
        <v>0</v>
      </c>
      <c r="AN23" s="127">
        <v>0</v>
      </c>
      <c r="AO23" s="127">
        <v>0</v>
      </c>
      <c r="AP23" s="127">
        <v>0</v>
      </c>
      <c r="AQ23" s="127">
        <v>0</v>
      </c>
      <c r="AR23" s="127">
        <v>0</v>
      </c>
      <c r="AS23" s="127">
        <v>0</v>
      </c>
      <c r="AT23" s="128">
        <v>0</v>
      </c>
    </row>
    <row r="24" spans="2:46" ht="12" customHeight="1" x14ac:dyDescent="0.25">
      <c r="B24" s="126" t="s">
        <v>22</v>
      </c>
      <c r="C24" s="127" t="s">
        <v>23</v>
      </c>
      <c r="D24" s="127" t="s">
        <v>24</v>
      </c>
      <c r="E24" s="127" t="s">
        <v>997</v>
      </c>
      <c r="F24" s="127" t="s">
        <v>25</v>
      </c>
      <c r="G24" s="127" t="s">
        <v>25</v>
      </c>
      <c r="H24" s="127" t="s">
        <v>63</v>
      </c>
      <c r="I24" s="127" t="s">
        <v>25</v>
      </c>
      <c r="J24" s="127">
        <v>0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0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8">
        <v>0</v>
      </c>
    </row>
    <row r="25" spans="2:46" ht="12" customHeight="1" x14ac:dyDescent="0.25">
      <c r="B25" s="126" t="s">
        <v>22</v>
      </c>
      <c r="C25" s="127" t="s">
        <v>23</v>
      </c>
      <c r="D25" s="127" t="s">
        <v>24</v>
      </c>
      <c r="E25" s="127" t="s">
        <v>24</v>
      </c>
      <c r="F25" s="127" t="s">
        <v>25</v>
      </c>
      <c r="G25" s="127" t="s">
        <v>25</v>
      </c>
      <c r="H25" s="127" t="s">
        <v>63</v>
      </c>
      <c r="I25" s="127" t="s">
        <v>25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>
        <v>0</v>
      </c>
      <c r="AN25" s="127">
        <v>0</v>
      </c>
      <c r="AO25" s="127">
        <v>0</v>
      </c>
      <c r="AP25" s="127">
        <v>0</v>
      </c>
      <c r="AQ25" s="127">
        <v>0</v>
      </c>
      <c r="AR25" s="127">
        <v>0</v>
      </c>
      <c r="AS25" s="127">
        <v>0</v>
      </c>
      <c r="AT25" s="128">
        <v>0</v>
      </c>
    </row>
    <row r="26" spans="2:46" ht="12" customHeight="1" x14ac:dyDescent="0.25">
      <c r="B26" s="126" t="s">
        <v>22</v>
      </c>
      <c r="C26" s="127" t="s">
        <v>79</v>
      </c>
      <c r="D26" s="127" t="s">
        <v>24</v>
      </c>
      <c r="E26" s="127" t="s">
        <v>997</v>
      </c>
      <c r="F26" s="127" t="s">
        <v>25</v>
      </c>
      <c r="G26" s="127" t="s">
        <v>25</v>
      </c>
      <c r="H26" s="127" t="s">
        <v>63</v>
      </c>
      <c r="I26" s="127" t="s">
        <v>25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0</v>
      </c>
      <c r="AO26" s="127">
        <v>0</v>
      </c>
      <c r="AP26" s="127">
        <v>0</v>
      </c>
      <c r="AQ26" s="127">
        <v>0</v>
      </c>
      <c r="AR26" s="127">
        <v>0</v>
      </c>
      <c r="AS26" s="127">
        <v>0</v>
      </c>
      <c r="AT26" s="128">
        <v>0</v>
      </c>
    </row>
    <row r="27" spans="2:46" ht="12" customHeight="1" x14ac:dyDescent="0.25">
      <c r="B27" s="126" t="s">
        <v>22</v>
      </c>
      <c r="C27" s="127" t="s">
        <v>79</v>
      </c>
      <c r="D27" s="127" t="s">
        <v>24</v>
      </c>
      <c r="E27" s="127" t="s">
        <v>24</v>
      </c>
      <c r="F27" s="127" t="s">
        <v>25</v>
      </c>
      <c r="G27" s="127" t="s">
        <v>25</v>
      </c>
      <c r="H27" s="127" t="s">
        <v>63</v>
      </c>
      <c r="I27" s="127" t="s">
        <v>25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>
        <v>0</v>
      </c>
      <c r="AN27" s="127">
        <v>0</v>
      </c>
      <c r="AO27" s="127">
        <v>0</v>
      </c>
      <c r="AP27" s="127">
        <v>0</v>
      </c>
      <c r="AQ27" s="127">
        <v>0</v>
      </c>
      <c r="AR27" s="127">
        <v>0</v>
      </c>
      <c r="AS27" s="127">
        <v>0</v>
      </c>
      <c r="AT27" s="128">
        <v>0</v>
      </c>
    </row>
    <row r="28" spans="2:46" ht="12" customHeight="1" x14ac:dyDescent="0.25">
      <c r="B28" s="126" t="s">
        <v>39</v>
      </c>
      <c r="C28" s="127" t="s">
        <v>77</v>
      </c>
      <c r="D28" s="127" t="s">
        <v>40</v>
      </c>
      <c r="E28" s="127" t="s">
        <v>80</v>
      </c>
      <c r="F28" s="127" t="s">
        <v>25</v>
      </c>
      <c r="G28" s="127" t="s">
        <v>35</v>
      </c>
      <c r="H28" s="127" t="s">
        <v>63</v>
      </c>
      <c r="I28" s="127" t="s">
        <v>25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0</v>
      </c>
      <c r="AO28" s="127">
        <v>0</v>
      </c>
      <c r="AP28" s="127">
        <v>0</v>
      </c>
      <c r="AQ28" s="127">
        <v>0</v>
      </c>
      <c r="AR28" s="127">
        <v>0</v>
      </c>
      <c r="AS28" s="127">
        <v>0</v>
      </c>
      <c r="AT28" s="128">
        <v>0</v>
      </c>
    </row>
    <row r="29" spans="2:46" ht="12" customHeight="1" x14ac:dyDescent="0.25">
      <c r="B29" s="126" t="s">
        <v>39</v>
      </c>
      <c r="C29" s="127" t="s">
        <v>77</v>
      </c>
      <c r="D29" s="127" t="s">
        <v>40</v>
      </c>
      <c r="E29" s="127" t="s">
        <v>80</v>
      </c>
      <c r="F29" s="127" t="s">
        <v>25</v>
      </c>
      <c r="G29" s="127" t="s">
        <v>470</v>
      </c>
      <c r="H29" s="127" t="s">
        <v>63</v>
      </c>
      <c r="I29" s="127" t="s">
        <v>25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0</v>
      </c>
      <c r="AO29" s="127">
        <v>0</v>
      </c>
      <c r="AP29" s="127">
        <v>0</v>
      </c>
      <c r="AQ29" s="127">
        <v>0</v>
      </c>
      <c r="AR29" s="127">
        <v>0</v>
      </c>
      <c r="AS29" s="127">
        <v>0</v>
      </c>
      <c r="AT29" s="128">
        <v>0</v>
      </c>
    </row>
    <row r="30" spans="2:46" ht="12" customHeight="1" x14ac:dyDescent="0.25">
      <c r="B30" s="126" t="s">
        <v>39</v>
      </c>
      <c r="C30" s="127" t="s">
        <v>77</v>
      </c>
      <c r="D30" s="127" t="s">
        <v>40</v>
      </c>
      <c r="E30" s="127" t="s">
        <v>80</v>
      </c>
      <c r="F30" s="127" t="s">
        <v>25</v>
      </c>
      <c r="G30" s="127" t="s">
        <v>36</v>
      </c>
      <c r="H30" s="127" t="s">
        <v>63</v>
      </c>
      <c r="I30" s="127" t="s">
        <v>25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>
        <v>0</v>
      </c>
      <c r="AN30" s="127">
        <v>0</v>
      </c>
      <c r="AO30" s="127">
        <v>0</v>
      </c>
      <c r="AP30" s="127">
        <v>0</v>
      </c>
      <c r="AQ30" s="127">
        <v>0</v>
      </c>
      <c r="AR30" s="127">
        <v>0</v>
      </c>
      <c r="AS30" s="127">
        <v>0</v>
      </c>
      <c r="AT30" s="128">
        <v>0</v>
      </c>
    </row>
    <row r="31" spans="2:46" ht="12" customHeight="1" x14ac:dyDescent="0.25">
      <c r="B31" s="126" t="s">
        <v>39</v>
      </c>
      <c r="C31" s="127" t="s">
        <v>77</v>
      </c>
      <c r="D31" s="127" t="s">
        <v>40</v>
      </c>
      <c r="E31" s="127" t="s">
        <v>25</v>
      </c>
      <c r="F31" s="127" t="s">
        <v>25</v>
      </c>
      <c r="G31" s="127" t="s">
        <v>35</v>
      </c>
      <c r="H31" s="127" t="s">
        <v>63</v>
      </c>
      <c r="I31" s="127" t="s">
        <v>25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0</v>
      </c>
      <c r="AD31" s="127">
        <v>0</v>
      </c>
      <c r="AE31" s="127">
        <v>0</v>
      </c>
      <c r="AF31" s="127">
        <v>0</v>
      </c>
      <c r="AG31" s="127">
        <v>0</v>
      </c>
      <c r="AH31" s="127">
        <v>0</v>
      </c>
      <c r="AI31" s="127">
        <v>0</v>
      </c>
      <c r="AJ31" s="127">
        <v>0</v>
      </c>
      <c r="AK31" s="127">
        <v>0</v>
      </c>
      <c r="AL31" s="127">
        <v>0</v>
      </c>
      <c r="AM31" s="127">
        <v>0</v>
      </c>
      <c r="AN31" s="127">
        <v>0</v>
      </c>
      <c r="AO31" s="127">
        <v>0</v>
      </c>
      <c r="AP31" s="127">
        <v>0</v>
      </c>
      <c r="AQ31" s="127">
        <v>0</v>
      </c>
      <c r="AR31" s="127">
        <v>0</v>
      </c>
      <c r="AS31" s="127">
        <v>0</v>
      </c>
      <c r="AT31" s="128">
        <v>0</v>
      </c>
    </row>
    <row r="32" spans="2:46" ht="12" customHeight="1" x14ac:dyDescent="0.25">
      <c r="B32" s="126" t="s">
        <v>39</v>
      </c>
      <c r="C32" s="127" t="s">
        <v>77</v>
      </c>
      <c r="D32" s="127" t="s">
        <v>40</v>
      </c>
      <c r="E32" s="127" t="s">
        <v>25</v>
      </c>
      <c r="F32" s="127" t="s">
        <v>25</v>
      </c>
      <c r="G32" s="127" t="s">
        <v>470</v>
      </c>
      <c r="H32" s="127" t="s">
        <v>63</v>
      </c>
      <c r="I32" s="127" t="s">
        <v>25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0</v>
      </c>
      <c r="AO32" s="127">
        <v>0</v>
      </c>
      <c r="AP32" s="127">
        <v>0</v>
      </c>
      <c r="AQ32" s="127">
        <v>0</v>
      </c>
      <c r="AR32" s="127">
        <v>0</v>
      </c>
      <c r="AS32" s="127">
        <v>0</v>
      </c>
      <c r="AT32" s="128">
        <v>0</v>
      </c>
    </row>
    <row r="33" spans="2:46" ht="12" customHeight="1" x14ac:dyDescent="0.25">
      <c r="B33" s="126" t="s">
        <v>39</v>
      </c>
      <c r="C33" s="127" t="s">
        <v>77</v>
      </c>
      <c r="D33" s="127" t="s">
        <v>40</v>
      </c>
      <c r="E33" s="127" t="s">
        <v>25</v>
      </c>
      <c r="F33" s="127" t="s">
        <v>25</v>
      </c>
      <c r="G33" s="127" t="s">
        <v>36</v>
      </c>
      <c r="H33" s="127" t="s">
        <v>63</v>
      </c>
      <c r="I33" s="127" t="s">
        <v>25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>
        <v>0</v>
      </c>
      <c r="AN33" s="127">
        <v>0</v>
      </c>
      <c r="AO33" s="127">
        <v>0</v>
      </c>
      <c r="AP33" s="127">
        <v>0</v>
      </c>
      <c r="AQ33" s="127">
        <v>0</v>
      </c>
      <c r="AR33" s="127">
        <v>0</v>
      </c>
      <c r="AS33" s="127">
        <v>0</v>
      </c>
      <c r="AT33" s="128">
        <v>0</v>
      </c>
    </row>
    <row r="34" spans="2:46" ht="12" customHeight="1" x14ac:dyDescent="0.25">
      <c r="B34" s="126" t="s">
        <v>39</v>
      </c>
      <c r="C34" s="127" t="s">
        <v>77</v>
      </c>
      <c r="D34" s="127" t="s">
        <v>40</v>
      </c>
      <c r="E34" s="127" t="s">
        <v>81</v>
      </c>
      <c r="F34" s="127" t="s">
        <v>25</v>
      </c>
      <c r="G34" s="127" t="s">
        <v>35</v>
      </c>
      <c r="H34" s="127" t="s">
        <v>63</v>
      </c>
      <c r="I34" s="127" t="s">
        <v>25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>
        <v>0</v>
      </c>
      <c r="AN34" s="127">
        <v>0</v>
      </c>
      <c r="AO34" s="127">
        <v>0</v>
      </c>
      <c r="AP34" s="127">
        <v>0</v>
      </c>
      <c r="AQ34" s="127">
        <v>0</v>
      </c>
      <c r="AR34" s="127">
        <v>0</v>
      </c>
      <c r="AS34" s="127">
        <v>0</v>
      </c>
      <c r="AT34" s="128">
        <v>0</v>
      </c>
    </row>
    <row r="35" spans="2:46" ht="12" customHeight="1" x14ac:dyDescent="0.25">
      <c r="B35" s="126" t="s">
        <v>39</v>
      </c>
      <c r="C35" s="127" t="s">
        <v>77</v>
      </c>
      <c r="D35" s="127" t="s">
        <v>40</v>
      </c>
      <c r="E35" s="127" t="s">
        <v>81</v>
      </c>
      <c r="F35" s="127" t="s">
        <v>25</v>
      </c>
      <c r="G35" s="127" t="s">
        <v>470</v>
      </c>
      <c r="H35" s="127" t="s">
        <v>63</v>
      </c>
      <c r="I35" s="127" t="s">
        <v>25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8">
        <v>0</v>
      </c>
    </row>
    <row r="36" spans="2:46" ht="12" customHeight="1" x14ac:dyDescent="0.25">
      <c r="B36" s="126" t="s">
        <v>39</v>
      </c>
      <c r="C36" s="127" t="s">
        <v>77</v>
      </c>
      <c r="D36" s="127" t="s">
        <v>40</v>
      </c>
      <c r="E36" s="127" t="s">
        <v>81</v>
      </c>
      <c r="F36" s="127" t="s">
        <v>25</v>
      </c>
      <c r="G36" s="127" t="s">
        <v>36</v>
      </c>
      <c r="H36" s="127" t="s">
        <v>63</v>
      </c>
      <c r="I36" s="127" t="s">
        <v>25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>
        <v>0</v>
      </c>
      <c r="AP36" s="127">
        <v>0</v>
      </c>
      <c r="AQ36" s="127">
        <v>0</v>
      </c>
      <c r="AR36" s="127">
        <v>0</v>
      </c>
      <c r="AS36" s="127">
        <v>0</v>
      </c>
      <c r="AT36" s="128">
        <v>0</v>
      </c>
    </row>
    <row r="37" spans="2:46" ht="12" customHeight="1" x14ac:dyDescent="0.25">
      <c r="B37" s="126" t="s">
        <v>39</v>
      </c>
      <c r="C37" s="127" t="s">
        <v>23</v>
      </c>
      <c r="D37" s="127" t="s">
        <v>40</v>
      </c>
      <c r="E37" s="127" t="s">
        <v>80</v>
      </c>
      <c r="F37" s="127" t="s">
        <v>25</v>
      </c>
      <c r="G37" s="127" t="s">
        <v>25</v>
      </c>
      <c r="H37" s="127" t="s">
        <v>63</v>
      </c>
      <c r="I37" s="127" t="s">
        <v>25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0</v>
      </c>
      <c r="AP37" s="127">
        <v>0</v>
      </c>
      <c r="AQ37" s="127">
        <v>0</v>
      </c>
      <c r="AR37" s="127">
        <v>0</v>
      </c>
      <c r="AS37" s="127">
        <v>0</v>
      </c>
      <c r="AT37" s="128">
        <v>0</v>
      </c>
    </row>
    <row r="38" spans="2:46" ht="12" customHeight="1" x14ac:dyDescent="0.25">
      <c r="B38" s="126" t="s">
        <v>39</v>
      </c>
      <c r="C38" s="127" t="s">
        <v>23</v>
      </c>
      <c r="D38" s="127" t="s">
        <v>40</v>
      </c>
      <c r="E38" s="127" t="s">
        <v>25</v>
      </c>
      <c r="F38" s="127" t="s">
        <v>25</v>
      </c>
      <c r="G38" s="127" t="s">
        <v>25</v>
      </c>
      <c r="H38" s="127" t="s">
        <v>63</v>
      </c>
      <c r="I38" s="127" t="s">
        <v>25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>
        <v>0</v>
      </c>
      <c r="AP38" s="127">
        <v>0</v>
      </c>
      <c r="AQ38" s="127">
        <v>0</v>
      </c>
      <c r="AR38" s="127">
        <v>0</v>
      </c>
      <c r="AS38" s="127">
        <v>0</v>
      </c>
      <c r="AT38" s="128">
        <v>0</v>
      </c>
    </row>
    <row r="39" spans="2:46" ht="12" customHeight="1" x14ac:dyDescent="0.25">
      <c r="B39" s="126" t="s">
        <v>39</v>
      </c>
      <c r="C39" s="127" t="s">
        <v>23</v>
      </c>
      <c r="D39" s="127" t="s">
        <v>40</v>
      </c>
      <c r="E39" s="127" t="s">
        <v>81</v>
      </c>
      <c r="F39" s="127" t="s">
        <v>25</v>
      </c>
      <c r="G39" s="127" t="s">
        <v>25</v>
      </c>
      <c r="H39" s="127" t="s">
        <v>63</v>
      </c>
      <c r="I39" s="127" t="s">
        <v>25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>
        <v>0</v>
      </c>
      <c r="AP39" s="127">
        <v>0</v>
      </c>
      <c r="AQ39" s="127">
        <v>0</v>
      </c>
      <c r="AR39" s="127">
        <v>0</v>
      </c>
      <c r="AS39" s="127">
        <v>0</v>
      </c>
      <c r="AT39" s="128">
        <v>0</v>
      </c>
    </row>
    <row r="40" spans="2:46" ht="12" customHeight="1" x14ac:dyDescent="0.25">
      <c r="B40" s="126" t="s">
        <v>39</v>
      </c>
      <c r="C40" s="127" t="s">
        <v>79</v>
      </c>
      <c r="D40" s="127" t="s">
        <v>40</v>
      </c>
      <c r="E40" s="127" t="s">
        <v>80</v>
      </c>
      <c r="F40" s="127" t="s">
        <v>25</v>
      </c>
      <c r="G40" s="127" t="s">
        <v>25</v>
      </c>
      <c r="H40" s="127" t="s">
        <v>63</v>
      </c>
      <c r="I40" s="127" t="s">
        <v>25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8">
        <v>0</v>
      </c>
    </row>
    <row r="41" spans="2:46" ht="12" customHeight="1" x14ac:dyDescent="0.25">
      <c r="B41" s="126" t="s">
        <v>39</v>
      </c>
      <c r="C41" s="127" t="s">
        <v>79</v>
      </c>
      <c r="D41" s="127" t="s">
        <v>40</v>
      </c>
      <c r="E41" s="127" t="s">
        <v>25</v>
      </c>
      <c r="F41" s="127" t="s">
        <v>25</v>
      </c>
      <c r="G41" s="127" t="s">
        <v>25</v>
      </c>
      <c r="H41" s="127" t="s">
        <v>63</v>
      </c>
      <c r="I41" s="127" t="s">
        <v>25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8">
        <v>0</v>
      </c>
    </row>
    <row r="42" spans="2:46" ht="12" customHeight="1" x14ac:dyDescent="0.25">
      <c r="B42" s="126" t="s">
        <v>39</v>
      </c>
      <c r="C42" s="127" t="s">
        <v>79</v>
      </c>
      <c r="D42" s="127" t="s">
        <v>40</v>
      </c>
      <c r="E42" s="127" t="s">
        <v>81</v>
      </c>
      <c r="F42" s="127" t="s">
        <v>25</v>
      </c>
      <c r="G42" s="127" t="s">
        <v>25</v>
      </c>
      <c r="H42" s="127" t="s">
        <v>63</v>
      </c>
      <c r="I42" s="127" t="s">
        <v>25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>
        <v>0</v>
      </c>
      <c r="AP42" s="127">
        <v>0</v>
      </c>
      <c r="AQ42" s="127">
        <v>0</v>
      </c>
      <c r="AR42" s="127">
        <v>0</v>
      </c>
      <c r="AS42" s="127">
        <v>0</v>
      </c>
      <c r="AT42" s="128">
        <v>0</v>
      </c>
    </row>
    <row r="43" spans="2:46" ht="12" customHeight="1" x14ac:dyDescent="0.25">
      <c r="B43" s="126" t="s">
        <v>31</v>
      </c>
      <c r="C43" s="127" t="s">
        <v>77</v>
      </c>
      <c r="D43" s="127" t="s">
        <v>25</v>
      </c>
      <c r="E43" s="127" t="s">
        <v>25</v>
      </c>
      <c r="F43" s="127" t="s">
        <v>25</v>
      </c>
      <c r="G43" s="127" t="s">
        <v>35</v>
      </c>
      <c r="H43" s="127" t="s">
        <v>63</v>
      </c>
      <c r="I43" s="127" t="s">
        <v>25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0</v>
      </c>
      <c r="AO43" s="127">
        <v>0</v>
      </c>
      <c r="AP43" s="127">
        <v>0</v>
      </c>
      <c r="AQ43" s="127">
        <v>0</v>
      </c>
      <c r="AR43" s="127">
        <v>0</v>
      </c>
      <c r="AS43" s="127">
        <v>0</v>
      </c>
      <c r="AT43" s="128">
        <v>0</v>
      </c>
    </row>
    <row r="44" spans="2:46" ht="12" customHeight="1" x14ac:dyDescent="0.25">
      <c r="B44" s="126" t="s">
        <v>31</v>
      </c>
      <c r="C44" s="127" t="s">
        <v>77</v>
      </c>
      <c r="D44" s="127" t="s">
        <v>25</v>
      </c>
      <c r="E44" s="127" t="s">
        <v>25</v>
      </c>
      <c r="F44" s="127" t="s">
        <v>25</v>
      </c>
      <c r="G44" s="127" t="s">
        <v>470</v>
      </c>
      <c r="H44" s="127" t="s">
        <v>63</v>
      </c>
      <c r="I44" s="127" t="s">
        <v>25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0</v>
      </c>
      <c r="AR44" s="127">
        <v>0</v>
      </c>
      <c r="AS44" s="127">
        <v>0</v>
      </c>
      <c r="AT44" s="128">
        <v>0</v>
      </c>
    </row>
    <row r="45" spans="2:46" ht="12" customHeight="1" x14ac:dyDescent="0.25">
      <c r="B45" s="126" t="s">
        <v>31</v>
      </c>
      <c r="C45" s="127" t="s">
        <v>77</v>
      </c>
      <c r="D45" s="127" t="s">
        <v>25</v>
      </c>
      <c r="E45" s="127" t="s">
        <v>25</v>
      </c>
      <c r="F45" s="127" t="s">
        <v>25</v>
      </c>
      <c r="G45" s="127" t="s">
        <v>36</v>
      </c>
      <c r="H45" s="127" t="s">
        <v>63</v>
      </c>
      <c r="I45" s="127" t="s">
        <v>25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>
        <v>0</v>
      </c>
      <c r="AN45" s="127">
        <v>0</v>
      </c>
      <c r="AO45" s="127">
        <v>0</v>
      </c>
      <c r="AP45" s="127">
        <v>0</v>
      </c>
      <c r="AQ45" s="127">
        <v>0</v>
      </c>
      <c r="AR45" s="127">
        <v>0</v>
      </c>
      <c r="AS45" s="127">
        <v>0</v>
      </c>
      <c r="AT45" s="128">
        <v>0</v>
      </c>
    </row>
    <row r="46" spans="2:46" ht="12" customHeight="1" x14ac:dyDescent="0.25">
      <c r="B46" s="126" t="s">
        <v>31</v>
      </c>
      <c r="C46" s="127" t="s">
        <v>23</v>
      </c>
      <c r="D46" s="127" t="s">
        <v>25</v>
      </c>
      <c r="E46" s="127" t="s">
        <v>25</v>
      </c>
      <c r="F46" s="127" t="s">
        <v>25</v>
      </c>
      <c r="G46" s="127" t="s">
        <v>25</v>
      </c>
      <c r="H46" s="127" t="s">
        <v>63</v>
      </c>
      <c r="I46" s="127" t="s">
        <v>25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>
        <v>0</v>
      </c>
      <c r="AP46" s="127">
        <v>0</v>
      </c>
      <c r="AQ46" s="127">
        <v>0</v>
      </c>
      <c r="AR46" s="127">
        <v>0</v>
      </c>
      <c r="AS46" s="127">
        <v>0</v>
      </c>
      <c r="AT46" s="128">
        <v>0</v>
      </c>
    </row>
    <row r="47" spans="2:46" ht="12" customHeight="1" x14ac:dyDescent="0.25">
      <c r="B47" s="126" t="s">
        <v>31</v>
      </c>
      <c r="C47" s="127" t="s">
        <v>79</v>
      </c>
      <c r="D47" s="127" t="s">
        <v>25</v>
      </c>
      <c r="E47" s="127" t="s">
        <v>25</v>
      </c>
      <c r="F47" s="127" t="s">
        <v>25</v>
      </c>
      <c r="G47" s="127" t="s">
        <v>25</v>
      </c>
      <c r="H47" s="127" t="s">
        <v>63</v>
      </c>
      <c r="I47" s="127" t="s">
        <v>25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>
        <v>0</v>
      </c>
      <c r="AP47" s="127">
        <v>0</v>
      </c>
      <c r="AQ47" s="127">
        <v>0</v>
      </c>
      <c r="AR47" s="127">
        <v>0</v>
      </c>
      <c r="AS47" s="127">
        <v>0</v>
      </c>
      <c r="AT47" s="128">
        <v>0</v>
      </c>
    </row>
    <row r="48" spans="2:46" ht="12" customHeight="1" x14ac:dyDescent="0.25">
      <c r="B48" s="126" t="s">
        <v>42</v>
      </c>
      <c r="C48" s="127" t="s">
        <v>23</v>
      </c>
      <c r="D48" s="127" t="s">
        <v>43</v>
      </c>
      <c r="E48" s="127" t="s">
        <v>82</v>
      </c>
      <c r="F48" s="127" t="s">
        <v>25</v>
      </c>
      <c r="G48" s="127" t="s">
        <v>25</v>
      </c>
      <c r="H48" s="127" t="s">
        <v>63</v>
      </c>
      <c r="I48" s="127" t="s">
        <v>25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8">
        <v>0</v>
      </c>
    </row>
    <row r="49" spans="2:46" ht="12" customHeight="1" x14ac:dyDescent="0.25">
      <c r="B49" s="129" t="s">
        <v>42</v>
      </c>
      <c r="C49" s="130" t="s">
        <v>23</v>
      </c>
      <c r="D49" s="130" t="s">
        <v>43</v>
      </c>
      <c r="E49" s="130" t="s">
        <v>44</v>
      </c>
      <c r="F49" s="130" t="s">
        <v>25</v>
      </c>
      <c r="G49" s="130" t="s">
        <v>25</v>
      </c>
      <c r="H49" s="130" t="s">
        <v>63</v>
      </c>
      <c r="I49" s="130" t="s">
        <v>25</v>
      </c>
      <c r="J49" s="130">
        <v>0</v>
      </c>
      <c r="K49" s="130">
        <v>0</v>
      </c>
      <c r="L49" s="130">
        <v>0</v>
      </c>
      <c r="M49" s="130">
        <v>0</v>
      </c>
      <c r="N49" s="130">
        <v>0</v>
      </c>
      <c r="O49" s="130">
        <v>0</v>
      </c>
      <c r="P49" s="130">
        <v>0</v>
      </c>
      <c r="Q49" s="130">
        <v>0</v>
      </c>
      <c r="R49" s="130">
        <v>0</v>
      </c>
      <c r="S49" s="130">
        <v>0</v>
      </c>
      <c r="T49" s="130">
        <v>0</v>
      </c>
      <c r="U49" s="130">
        <v>0</v>
      </c>
      <c r="V49" s="130">
        <v>0</v>
      </c>
      <c r="W49" s="130">
        <v>0</v>
      </c>
      <c r="X49" s="130">
        <v>0</v>
      </c>
      <c r="Y49" s="130">
        <v>0</v>
      </c>
      <c r="Z49" s="130">
        <v>0</v>
      </c>
      <c r="AA49" s="130">
        <v>0</v>
      </c>
      <c r="AB49" s="130">
        <v>0</v>
      </c>
      <c r="AC49" s="130">
        <v>0</v>
      </c>
      <c r="AD49" s="130">
        <v>0</v>
      </c>
      <c r="AE49" s="130">
        <v>0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0">
        <v>0</v>
      </c>
      <c r="AL49" s="130">
        <v>0</v>
      </c>
      <c r="AM49" s="130">
        <v>0</v>
      </c>
      <c r="AN49" s="130">
        <v>0</v>
      </c>
      <c r="AO49" s="130">
        <v>0</v>
      </c>
      <c r="AP49" s="130">
        <v>0</v>
      </c>
      <c r="AQ49" s="130">
        <v>0</v>
      </c>
      <c r="AR49" s="130">
        <v>0</v>
      </c>
      <c r="AS49" s="130">
        <v>0</v>
      </c>
      <c r="AT49" s="131">
        <v>0</v>
      </c>
    </row>
  </sheetData>
  <mergeCells count="7">
    <mergeCell ref="L1:AT1"/>
    <mergeCell ref="L2:S2"/>
    <mergeCell ref="T2:Z2"/>
    <mergeCell ref="AB2:AD2"/>
    <mergeCell ref="AE2:AH2"/>
    <mergeCell ref="AI2:AM2"/>
    <mergeCell ref="AO2:AS2"/>
  </mergeCells>
  <phoneticPr fontId="10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616-4983-4687-8BE5-32C0003E9532}">
  <dimension ref="A1:AD49"/>
  <sheetViews>
    <sheetView showGridLines="0" topLeftCell="C1" workbookViewId="0">
      <selection activeCell="D50" sqref="D50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20" width="7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61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9" t="s">
        <v>33</v>
      </c>
      <c r="B2" s="89" t="s">
        <v>34</v>
      </c>
      <c r="C2" s="89" t="s">
        <v>25</v>
      </c>
      <c r="D2" s="89" t="s">
        <v>25</v>
      </c>
      <c r="E2" s="89" t="s">
        <v>25</v>
      </c>
      <c r="F2" s="89" t="s">
        <v>25</v>
      </c>
      <c r="G2" s="12" t="s">
        <v>67</v>
      </c>
      <c r="H2" s="12" t="s">
        <v>66</v>
      </c>
      <c r="I2" s="12">
        <f>SUMIF(Mercado_Receita!$S$2:$S$170,"44440A4AzulNão se aplicaNão se aplicaNão se aplicaNão se aplicaPonta",Mercado_Receita!$J$2:$J$170)+SUMIF(Mercado_Receita!$S$2:$S$170,"44440A4AzulNão se aplicaNão se aplicaAPENão se aplicaPonta",Mercado_Receita!$J$2:$J$170)</f>
        <v>6066</v>
      </c>
      <c r="J2" s="12">
        <f>SUMIF(Mercado_Receita!$S$2:$S$170,"44470A4AzulNão se aplicaNão se aplicaNão se aplicaNão se aplicaPonta",Mercado_Receita!$J$2:$J$170)+SUMIF(Mercado_Receita!$S$2:$S$170,"44470A4AzulNão se aplicaNão se aplicaAPENão se aplicaPonta",Mercado_Receita!$J$2:$J$170)</f>
        <v>5996</v>
      </c>
      <c r="K2" s="12">
        <f>SUMIF(Mercado_Receita!$S$2:$S$170,"44501A4AzulNão se aplicaNão se aplicaNão se aplicaNão se aplicaPonta",Mercado_Receita!$J$2:$J$170)+SUMIF(Mercado_Receita!$S$2:$S$170,"44501A4AzulNão se aplicaNão se aplicaAPENão se aplicaPonta",Mercado_Receita!$J$2:$J$170)</f>
        <v>6103</v>
      </c>
      <c r="L2" s="12">
        <f>SUMIF(Mercado_Receita!$S$2:$S$170,"44531A4AzulNão se aplicaNão se aplicaNão se aplicaNão se aplicaPonta",Mercado_Receita!$J$2:$J$170)+SUMIF(Mercado_Receita!$S$2:$S$170,"44531A4AzulNão se aplicaNão se aplicaAPENão se aplicaPonta",Mercado_Receita!$J$2:$J$170)</f>
        <v>6058</v>
      </c>
      <c r="M2" s="12">
        <f>SUMIF(Mercado_Receita!$S$2:$S$170,"44562A4AzulNão se aplicaNão se aplicaNão se aplicaNão se aplicaPonta",Mercado_Receita!$J$2:$J$170)+SUMIF(Mercado_Receita!$S$2:$S$170,"44562A4AzulNão se aplicaNão se aplicaAPENão se aplicaPonta",Mercado_Receita!$J$2:$J$170)</f>
        <v>6304</v>
      </c>
      <c r="N2" s="12">
        <f>SUMIF(Mercado_Receita!$S$2:$S$170,"44593A4AzulNão se aplicaNão se aplicaNão se aplicaNão se aplicaPonta",Mercado_Receita!$J$2:$J$170)+SUMIF(Mercado_Receita!$S$2:$S$170,"44593A4AzulNão se aplicaNão se aplicaAPENão se aplicaPonta",Mercado_Receita!$J$2:$J$170)</f>
        <v>6285</v>
      </c>
      <c r="O2" s="12">
        <f>SUMIF(Mercado_Receita!$S$2:$S$170,"44621A4AzulNão se aplicaNão se aplicaNão se aplicaNão se aplicaPonta",Mercado_Receita!$J$2:$J$170)+SUMIF(Mercado_Receita!$S$2:$S$170,"44621A4AzulNão se aplicaNão se aplicaAPENão se aplicaPonta",Mercado_Receita!$J$2:$J$170)</f>
        <v>6258</v>
      </c>
      <c r="P2" s="12">
        <f>SUMIF(Mercado_Receita!$S$2:$S$170,"44652A4AzulNão se aplicaNão se aplicaNão se aplicaNão se aplicaPonta",Mercado_Receita!$J$2:$J$170)+SUMIF(Mercado_Receita!$S$2:$S$170,"44652A4AzulNão se aplicaNão se aplicaAPENão se aplicaPonta",Mercado_Receita!$J$2:$J$170)</f>
        <v>6215</v>
      </c>
      <c r="Q2" s="12">
        <f>SUMIF(Mercado_Receita!$S$2:$S$170,"44682A4AzulNão se aplicaNão se aplicaNão se aplicaNão se aplicaPonta",Mercado_Receita!$J$2:$J$170)+SUMIF(Mercado_Receita!$S$2:$S$170,"44682A4AzulNão se aplicaNão se aplicaAPENão se aplicaPonta",Mercado_Receita!$J$2:$J$170)</f>
        <v>6270</v>
      </c>
      <c r="R2" s="12">
        <f>SUMIF(Mercado_Receita!$S$2:$S$170,"44713A4AzulNão se aplicaNão se aplicaNão se aplicaNão se aplicaPonta",Mercado_Receita!$J$2:$J$170)+SUMIF(Mercado_Receita!$S$2:$S$170,"44713A4AzulNão se aplicaNão se aplicaAPENão se aplicaPonta",Mercado_Receita!$J$2:$J$170)</f>
        <v>6256</v>
      </c>
      <c r="S2" s="12">
        <f>SUMIF(Mercado_Receita!$S$2:$S$170,"44743A4AzulNão se aplicaNão se aplicaNão se aplicaNão se aplicaPonta",Mercado_Receita!$J$2:$J$170)+SUMIF(Mercado_Receita!$S$2:$S$170,"44743A4AzulNão se aplicaNão se aplicaAPENão se aplicaPonta",Mercado_Receita!$J$2:$J$170)</f>
        <v>6408</v>
      </c>
      <c r="T2" s="12">
        <f>SUMIF(Mercado_Receita!$S$2:$S$170,"44774A4AzulNão se aplicaNão se aplicaNão se aplicaNão se aplicaPonta",Mercado_Receita!$J$2:$J$170)+SUMIF(Mercado_Receita!$S$2:$S$170,"44774A4AzulNão se aplicaNão se aplicaAPENão se aplicaPonta",Mercado_Receita!$J$2:$J$170)</f>
        <v>6396</v>
      </c>
      <c r="U2" s="12">
        <f t="shared" ref="U2:U48" si="0">SUM(I2:T2)</f>
        <v>74615</v>
      </c>
      <c r="V2" s="12"/>
      <c r="W2" s="12"/>
    </row>
    <row r="3" spans="1:30" ht="11.25" customHeight="1" x14ac:dyDescent="0.25">
      <c r="A3" s="90"/>
      <c r="B3" s="90"/>
      <c r="C3" s="90"/>
      <c r="D3" s="90"/>
      <c r="E3" s="90"/>
      <c r="F3" s="90"/>
      <c r="G3" s="12" t="s">
        <v>68</v>
      </c>
      <c r="H3" s="12" t="s">
        <v>66</v>
      </c>
      <c r="I3" s="12">
        <f>SUMIF(Mercado_Receita!$S$2:$S$170,"44440A4AzulNão se aplicaNão se aplicaNão se aplicaNão se aplicaFora ponta",Mercado_Receita!$J$2:$J$170)+SUMIF(Mercado_Receita!$S$2:$S$170,"44440A4AzulNão se aplicaNão se aplicaAPENão se aplicaFora ponta",Mercado_Receita!$J$2:$J$170)</f>
        <v>6522</v>
      </c>
      <c r="J3" s="12">
        <f>SUMIF(Mercado_Receita!$S$2:$S$170,"44470A4AzulNão se aplicaNão se aplicaNão se aplicaNão se aplicaFora ponta",Mercado_Receita!$J$2:$J$170)+SUMIF(Mercado_Receita!$S$2:$S$170,"44470A4AzulNão se aplicaNão se aplicaAPENão se aplicaFora ponta",Mercado_Receita!$J$2:$J$170)</f>
        <v>6537</v>
      </c>
      <c r="K3" s="12">
        <f>SUMIF(Mercado_Receita!$S$2:$S$170,"44501A4AzulNão se aplicaNão se aplicaNão se aplicaNão se aplicaFora ponta",Mercado_Receita!$J$2:$J$170)+SUMIF(Mercado_Receita!$S$2:$S$170,"44501A4AzulNão se aplicaNão se aplicaAPENão se aplicaFora ponta",Mercado_Receita!$J$2:$J$170)</f>
        <v>6638</v>
      </c>
      <c r="L3" s="12">
        <f>SUMIF(Mercado_Receita!$S$2:$S$170,"44531A4AzulNão se aplicaNão se aplicaNão se aplicaNão se aplicaFora ponta",Mercado_Receita!$J$2:$J$170)+SUMIF(Mercado_Receita!$S$2:$S$170,"44531A4AzulNão se aplicaNão se aplicaAPENão se aplicaFora ponta",Mercado_Receita!$J$2:$J$170)</f>
        <v>6702</v>
      </c>
      <c r="M3" s="12">
        <f>SUMIF(Mercado_Receita!$S$2:$S$170,"44562A4AzulNão se aplicaNão se aplicaNão se aplicaNão se aplicaFora ponta",Mercado_Receita!$J$2:$J$170)+SUMIF(Mercado_Receita!$S$2:$S$170,"44562A4AzulNão se aplicaNão se aplicaAPENão se aplicaFora ponta",Mercado_Receita!$J$2:$J$170)</f>
        <v>7052</v>
      </c>
      <c r="N3" s="12">
        <f>SUMIF(Mercado_Receita!$S$2:$S$170,"44593A4AzulNão se aplicaNão se aplicaNão se aplicaNão se aplicaFora ponta",Mercado_Receita!$J$2:$J$170)+SUMIF(Mercado_Receita!$S$2:$S$170,"44593A4AzulNão se aplicaNão se aplicaAPENão se aplicaFora ponta",Mercado_Receita!$J$2:$J$170)</f>
        <v>6867</v>
      </c>
      <c r="O3" s="12">
        <f>SUMIF(Mercado_Receita!$S$2:$S$170,"44621A4AzulNão se aplicaNão se aplicaNão se aplicaNão se aplicaFora ponta",Mercado_Receita!$J$2:$J$170)+SUMIF(Mercado_Receita!$S$2:$S$170,"44621A4AzulNão se aplicaNão se aplicaAPENão se aplicaFora ponta",Mercado_Receita!$J$2:$J$170)</f>
        <v>6755</v>
      </c>
      <c r="P3" s="12">
        <f>SUMIF(Mercado_Receita!$S$2:$S$170,"44652A4AzulNão se aplicaNão se aplicaNão se aplicaNão se aplicaFora ponta",Mercado_Receita!$J$2:$J$170)+SUMIF(Mercado_Receita!$S$2:$S$170,"44652A4AzulNão se aplicaNão se aplicaAPENão se aplicaFora ponta",Mercado_Receita!$J$2:$J$170)</f>
        <v>6776</v>
      </c>
      <c r="Q3" s="12">
        <f>SUMIF(Mercado_Receita!$S$2:$S$170,"44682A4AzulNão se aplicaNão se aplicaNão se aplicaNão se aplicaFora ponta",Mercado_Receita!$J$2:$J$170)+SUMIF(Mercado_Receita!$S$2:$S$170,"44682A4AzulNão se aplicaNão se aplicaAPENão se aplicaFora ponta",Mercado_Receita!$J$2:$J$170)</f>
        <v>6813</v>
      </c>
      <c r="R3" s="12">
        <f>SUMIF(Mercado_Receita!$S$2:$S$170,"44713A4AzulNão se aplicaNão se aplicaNão se aplicaNão se aplicaFora ponta",Mercado_Receita!$J$2:$J$170)+SUMIF(Mercado_Receita!$S$2:$S$170,"44713A4AzulNão se aplicaNão se aplicaAPENão se aplicaFora ponta",Mercado_Receita!$J$2:$J$170)</f>
        <v>6851</v>
      </c>
      <c r="S3" s="12">
        <f>SUMIF(Mercado_Receita!$S$2:$S$170,"44743A4AzulNão se aplicaNão se aplicaNão se aplicaNão se aplicaFora ponta",Mercado_Receita!$J$2:$J$170)+SUMIF(Mercado_Receita!$S$2:$S$170,"44743A4AzulNão se aplicaNão se aplicaAPENão se aplicaFora ponta",Mercado_Receita!$J$2:$J$170)</f>
        <v>6950</v>
      </c>
      <c r="T3" s="12">
        <f>SUMIF(Mercado_Receita!$S$2:$S$170,"44774A4AzulNão se aplicaNão se aplicaNão se aplicaNão se aplicaFora ponta",Mercado_Receita!$J$2:$J$170)+SUMIF(Mercado_Receita!$S$2:$S$170,"44774A4AzulNão se aplicaNão se aplicaAPENão se aplicaFora ponta",Mercado_Receita!$J$2:$J$170)</f>
        <v>6883</v>
      </c>
      <c r="U3" s="12">
        <f t="shared" si="0"/>
        <v>81346</v>
      </c>
      <c r="V3" s="12"/>
      <c r="W3" s="12"/>
    </row>
    <row r="4" spans="1:30" ht="11.25" customHeight="1" x14ac:dyDescent="0.25">
      <c r="A4" s="90"/>
      <c r="B4" s="90"/>
      <c r="C4" s="90"/>
      <c r="D4" s="90"/>
      <c r="E4" s="90"/>
      <c r="F4" s="90"/>
      <c r="G4" s="12" t="s">
        <v>69</v>
      </c>
      <c r="H4" s="12" t="s">
        <v>63</v>
      </c>
      <c r="I4" s="12">
        <f>SUMIF(Mercado_Receita!$S$2:$S$170,"44440A4AzulNão se aplicaNão se aplicaNão se aplicaNão se aplicaPonta",Mercado_Receita!$L$2:$L$170)+SUMIF(Mercado_Receita!$S$2:$S$170,"44440A4AzulNão se aplicaNão se aplicaNão se aplicaNão se aplicaFora ponta",Mercado_Receita!$L$2:$L$170)+SUMIF(Mercado_Receita!$S$2:$S$170,"44440A4AzulNão se aplicaNão se aplicaNão se aplicaNão se aplicaIntermediário",Mercado_Receita!$L$2:$L$170)+SUMIF(Mercado_Receita!$S$2:$S$170,"44440A4AzulNão se aplicaNão se aplicaNão se aplicaNão se aplicaNão se aplica",Mercado_Receita!$L$2:$L$170)</f>
        <v>3465.24</v>
      </c>
      <c r="J4" s="12">
        <f>SUMIF(Mercado_Receita!$S$2:$S$170,"44470A4AzulNão se aplicaNão se aplicaNão se aplicaNão se aplicaPonta",Mercado_Receita!$L$2:$L$170)+SUMIF(Mercado_Receita!$S$2:$S$170,"44470A4AzulNão se aplicaNão se aplicaNão se aplicaNão se aplicaFora ponta",Mercado_Receita!$L$2:$L$170)+SUMIF(Mercado_Receita!$S$2:$S$170,"44470A4AzulNão se aplicaNão se aplicaNão se aplicaNão se aplicaIntermediário",Mercado_Receita!$L$2:$L$170)+SUMIF(Mercado_Receita!$S$2:$S$170,"44470A4AzulNão se aplicaNão se aplicaNão se aplicaNão se aplicaNão se aplica",Mercado_Receita!$L$2:$L$170)</f>
        <v>3541.44</v>
      </c>
      <c r="K4" s="12">
        <f>SUMIF(Mercado_Receita!$S$2:$S$170,"44501A4AzulNão se aplicaNão se aplicaNão se aplicaNão se aplicaPonta",Mercado_Receita!$L$2:$L$170)+SUMIF(Mercado_Receita!$S$2:$S$170,"44501A4AzulNão se aplicaNão se aplicaNão se aplicaNão se aplicaFora ponta",Mercado_Receita!$L$2:$L$170)+SUMIF(Mercado_Receita!$S$2:$S$170,"44501A4AzulNão se aplicaNão se aplicaNão se aplicaNão se aplicaIntermediário",Mercado_Receita!$L$2:$L$170)+SUMIF(Mercado_Receita!$S$2:$S$170,"44501A4AzulNão se aplicaNão se aplicaNão se aplicaNão se aplicaNão se aplica",Mercado_Receita!$L$2:$L$170)</f>
        <v>3817.2000000000003</v>
      </c>
      <c r="L4" s="12">
        <f>SUMIF(Mercado_Receita!$S$2:$S$170,"44531A4AzulNão se aplicaNão se aplicaNão se aplicaNão se aplicaPonta",Mercado_Receita!$L$2:$L$170)+SUMIF(Mercado_Receita!$S$2:$S$170,"44531A4AzulNão se aplicaNão se aplicaNão se aplicaNão se aplicaFora ponta",Mercado_Receita!$L$2:$L$170)+SUMIF(Mercado_Receita!$S$2:$S$170,"44531A4AzulNão se aplicaNão se aplicaNão se aplicaNão se aplicaIntermediário",Mercado_Receita!$L$2:$L$170)+SUMIF(Mercado_Receita!$S$2:$S$170,"44531A4AzulNão se aplicaNão se aplicaNão se aplicaNão se aplicaNão se aplica",Mercado_Receita!$L$2:$L$170)</f>
        <v>3592.3199999999997</v>
      </c>
      <c r="M4" s="12">
        <f>SUMIF(Mercado_Receita!$S$2:$S$170,"44562A4AzulNão se aplicaNão se aplicaNão se aplicaNão se aplicaPonta",Mercado_Receita!$L$2:$L$170)+SUMIF(Mercado_Receita!$S$2:$S$170,"44562A4AzulNão se aplicaNão se aplicaNão se aplicaNão se aplicaFora ponta",Mercado_Receita!$L$2:$L$170)+SUMIF(Mercado_Receita!$S$2:$S$170,"44562A4AzulNão se aplicaNão se aplicaNão se aplicaNão se aplicaIntermediário",Mercado_Receita!$L$2:$L$170)+SUMIF(Mercado_Receita!$S$2:$S$170,"44562A4AzulNão se aplicaNão se aplicaNão se aplicaNão se aplicaNão se aplica",Mercado_Receita!$L$2:$L$170)</f>
        <v>2436.36</v>
      </c>
      <c r="N4" s="12">
        <f>SUMIF(Mercado_Receita!$S$2:$S$170,"44593A4AzulNão se aplicaNão se aplicaNão se aplicaNão se aplicaPonta",Mercado_Receita!$L$2:$L$170)+SUMIF(Mercado_Receita!$S$2:$S$170,"44593A4AzulNão se aplicaNão se aplicaNão se aplicaNão se aplicaFora ponta",Mercado_Receita!$L$2:$L$170)+SUMIF(Mercado_Receita!$S$2:$S$170,"44593A4AzulNão se aplicaNão se aplicaNão se aplicaNão se aplicaIntermediário",Mercado_Receita!$L$2:$L$170)+SUMIF(Mercado_Receita!$S$2:$S$170,"44593A4AzulNão se aplicaNão se aplicaNão se aplicaNão se aplicaNão se aplica",Mercado_Receita!$L$2:$L$170)</f>
        <v>3274.92</v>
      </c>
      <c r="O4" s="12">
        <f>SUMIF(Mercado_Receita!$S$2:$S$170,"44621A4AzulNão se aplicaNão se aplicaNão se aplicaNão se aplicaPonta",Mercado_Receita!$L$2:$L$170)+SUMIF(Mercado_Receita!$S$2:$S$170,"44621A4AzulNão se aplicaNão se aplicaNão se aplicaNão se aplicaFora ponta",Mercado_Receita!$L$2:$L$170)+SUMIF(Mercado_Receita!$S$2:$S$170,"44621A4AzulNão se aplicaNão se aplicaNão se aplicaNão se aplicaIntermediário",Mercado_Receita!$L$2:$L$170)+SUMIF(Mercado_Receita!$S$2:$S$170,"44621A4AzulNão se aplicaNão se aplicaNão se aplicaNão se aplicaNão se aplica",Mercado_Receita!$L$2:$L$170)</f>
        <v>3552.2400000000002</v>
      </c>
      <c r="P4" s="12">
        <f>SUMIF(Mercado_Receita!$S$2:$S$170,"44652A4AzulNão se aplicaNão se aplicaNão se aplicaNão se aplicaPonta",Mercado_Receita!$L$2:$L$170)+SUMIF(Mercado_Receita!$S$2:$S$170,"44652A4AzulNão se aplicaNão se aplicaNão se aplicaNão se aplicaFora ponta",Mercado_Receita!$L$2:$L$170)+SUMIF(Mercado_Receita!$S$2:$S$170,"44652A4AzulNão se aplicaNão se aplicaNão se aplicaNão se aplicaIntermediário",Mercado_Receita!$L$2:$L$170)+SUMIF(Mercado_Receita!$S$2:$S$170,"44652A4AzulNão se aplicaNão se aplicaNão se aplicaNão se aplicaNão se aplica",Mercado_Receita!$L$2:$L$170)</f>
        <v>3362.94</v>
      </c>
      <c r="Q4" s="12">
        <f>SUMIF(Mercado_Receita!$S$2:$S$170,"44682A4AzulNão se aplicaNão se aplicaNão se aplicaNão se aplicaPonta",Mercado_Receita!$L$2:$L$170)+SUMIF(Mercado_Receita!$S$2:$S$170,"44682A4AzulNão se aplicaNão se aplicaNão se aplicaNão se aplicaFora ponta",Mercado_Receita!$L$2:$L$170)+SUMIF(Mercado_Receita!$S$2:$S$170,"44682A4AzulNão se aplicaNão se aplicaNão se aplicaNão se aplicaIntermediário",Mercado_Receita!$L$2:$L$170)+SUMIF(Mercado_Receita!$S$2:$S$170,"44682A4AzulNão se aplicaNão se aplicaNão se aplicaNão se aplicaNão se aplica",Mercado_Receita!$L$2:$L$170)</f>
        <v>3333</v>
      </c>
      <c r="R4" s="12">
        <f>SUMIF(Mercado_Receita!$S$2:$S$170,"44713A4AzulNão se aplicaNão se aplicaNão se aplicaNão se aplicaPonta",Mercado_Receita!$L$2:$L$170)+SUMIF(Mercado_Receita!$S$2:$S$170,"44713A4AzulNão se aplicaNão se aplicaNão se aplicaNão se aplicaFora ponta",Mercado_Receita!$L$2:$L$170)+SUMIF(Mercado_Receita!$S$2:$S$170,"44713A4AzulNão se aplicaNão se aplicaNão se aplicaNão se aplicaIntermediário",Mercado_Receita!$L$2:$L$170)+SUMIF(Mercado_Receita!$S$2:$S$170,"44713A4AzulNão se aplicaNão se aplicaNão se aplicaNão se aplicaNão se aplica",Mercado_Receita!$L$2:$L$170)</f>
        <v>3499.02</v>
      </c>
      <c r="S4" s="12">
        <f>SUMIF(Mercado_Receita!$S$2:$S$170,"44743A4AzulNão se aplicaNão se aplicaNão se aplicaNão se aplicaPonta",Mercado_Receita!$L$2:$L$170)+SUMIF(Mercado_Receita!$S$2:$S$170,"44743A4AzulNão se aplicaNão se aplicaNão se aplicaNão se aplicaFora ponta",Mercado_Receita!$L$2:$L$170)+SUMIF(Mercado_Receita!$S$2:$S$170,"44743A4AzulNão se aplicaNão se aplicaNão se aplicaNão se aplicaIntermediário",Mercado_Receita!$L$2:$L$170)+SUMIF(Mercado_Receita!$S$2:$S$170,"44743A4AzulNão se aplicaNão se aplicaNão se aplicaNão se aplicaNão se aplica",Mercado_Receita!$L$2:$L$170)</f>
        <v>3516.7799999999997</v>
      </c>
      <c r="T4" s="12">
        <f>SUMIF(Mercado_Receita!$S$2:$S$170,"44774A4AzulNão se aplicaNão se aplicaNão se aplicaNão se aplicaPonta",Mercado_Receita!$L$2:$L$170)+SUMIF(Mercado_Receita!$S$2:$S$170,"44774A4AzulNão se aplicaNão se aplicaNão se aplicaNão se aplicaFora ponta",Mercado_Receita!$L$2:$L$170)+SUMIF(Mercado_Receita!$S$2:$S$170,"44774A4AzulNão se aplicaNão se aplicaNão se aplicaNão se aplicaIntermediário",Mercado_Receita!$L$2:$L$170)+SUMIF(Mercado_Receita!$S$2:$S$170,"44774A4AzulNão se aplicaNão se aplicaNão se aplicaNão se aplicaNão se aplica",Mercado_Receita!$L$2:$L$170)</f>
        <v>3939.9</v>
      </c>
      <c r="U4" s="12">
        <f t="shared" si="0"/>
        <v>41331.360000000001</v>
      </c>
      <c r="V4" s="12"/>
      <c r="W4" s="12"/>
    </row>
    <row r="5" spans="1:30" ht="11.25" customHeight="1" x14ac:dyDescent="0.25">
      <c r="A5" s="90"/>
      <c r="B5" s="90"/>
      <c r="C5" s="90"/>
      <c r="D5" s="90"/>
      <c r="E5" s="13" t="s">
        <v>70</v>
      </c>
      <c r="F5" s="13" t="s">
        <v>25</v>
      </c>
      <c r="G5" s="12" t="s">
        <v>69</v>
      </c>
      <c r="H5" s="12" t="s">
        <v>63</v>
      </c>
      <c r="I5" s="12">
        <f>SUMIF(Mercado_Receita!$S$2:$S$170,"44440A4AzulNão se aplicaNão se aplicaAPENão se aplicaPonta",Mercado_Receita!$L$2:$L$170)+SUMIF(Mercado_Receita!$S$2:$S$170,"44440A4AzulNão se aplicaNão se aplicaAPENão se aplicaFora ponta",Mercado_Receita!$L$2:$L$170)+SUMIF(Mercado_Receita!$S$2:$S$170,"44440A4AzulNão se aplicaNão se aplicaAPENão se aplicaIntermediário",Mercado_Receita!$L$2:$L$170)+SUMIF(Mercado_Receita!$S$2:$S$170,"44440A4AzulNão se aplicaNão se aplicaAPENão se aplicaNão se aplica",Mercado_Receita!$L$2:$L$170)</f>
        <v>0</v>
      </c>
      <c r="J5" s="12">
        <f>SUMIF(Mercado_Receita!$S$2:$S$170,"44470A4AzulNão se aplicaNão se aplicaAPENão se aplicaPonta",Mercado_Receita!$L$2:$L$170)+SUMIF(Mercado_Receita!$S$2:$S$170,"44470A4AzulNão se aplicaNão se aplicaAPENão se aplicaFora ponta",Mercado_Receita!$L$2:$L$170)+SUMIF(Mercado_Receita!$S$2:$S$170,"44470A4AzulNão se aplicaNão se aplicaAPENão se aplicaIntermediário",Mercado_Receita!$L$2:$L$170)+SUMIF(Mercado_Receita!$S$2:$S$170,"44470A4AzulNão se aplicaNão se aplicaAPENão se aplicaNão se aplica",Mercado_Receita!$L$2:$L$170)</f>
        <v>0</v>
      </c>
      <c r="K5" s="12">
        <f>SUMIF(Mercado_Receita!$S$2:$S$170,"44501A4AzulNão se aplicaNão se aplicaAPENão se aplicaPonta",Mercado_Receita!$L$2:$L$170)+SUMIF(Mercado_Receita!$S$2:$S$170,"44501A4AzulNão se aplicaNão se aplicaAPENão se aplicaFora ponta",Mercado_Receita!$L$2:$L$170)+SUMIF(Mercado_Receita!$S$2:$S$170,"44501A4AzulNão se aplicaNão se aplicaAPENão se aplicaIntermediário",Mercado_Receita!$L$2:$L$170)+SUMIF(Mercado_Receita!$S$2:$S$170,"44501A4AzulNão se aplicaNão se aplicaAPENão se aplicaNão se aplica",Mercado_Receita!$L$2:$L$170)</f>
        <v>0</v>
      </c>
      <c r="L5" s="12">
        <f>SUMIF(Mercado_Receita!$S$2:$S$170,"44531A4AzulNão se aplicaNão se aplicaAPENão se aplicaPonta",Mercado_Receita!$L$2:$L$170)+SUMIF(Mercado_Receita!$S$2:$S$170,"44531A4AzulNão se aplicaNão se aplicaAPENão se aplicaFora ponta",Mercado_Receita!$L$2:$L$170)+SUMIF(Mercado_Receita!$S$2:$S$170,"44531A4AzulNão se aplicaNão se aplicaAPENão se aplicaIntermediário",Mercado_Receita!$L$2:$L$170)+SUMIF(Mercado_Receita!$S$2:$S$170,"44531A4AzulNão se aplicaNão se aplicaAPENão se aplicaNão se aplica",Mercado_Receita!$L$2:$L$170)</f>
        <v>0</v>
      </c>
      <c r="M5" s="12">
        <f>SUMIF(Mercado_Receita!$S$2:$S$170,"44562A4AzulNão se aplicaNão se aplicaAPENão se aplicaPonta",Mercado_Receita!$L$2:$L$170)+SUMIF(Mercado_Receita!$S$2:$S$170,"44562A4AzulNão se aplicaNão se aplicaAPENão se aplicaFora ponta",Mercado_Receita!$L$2:$L$170)+SUMIF(Mercado_Receita!$S$2:$S$170,"44562A4AzulNão se aplicaNão se aplicaAPENão se aplicaIntermediário",Mercado_Receita!$L$2:$L$170)+SUMIF(Mercado_Receita!$S$2:$S$170,"44562A4AzulNão se aplicaNão se aplicaAPENão se aplicaNão se aplica",Mercado_Receita!$L$2:$L$170)</f>
        <v>0</v>
      </c>
      <c r="N5" s="12">
        <f>SUMIF(Mercado_Receita!$S$2:$S$170,"44593A4AzulNão se aplicaNão se aplicaAPENão se aplicaPonta",Mercado_Receita!$L$2:$L$170)+SUMIF(Mercado_Receita!$S$2:$S$170,"44593A4AzulNão se aplicaNão se aplicaAPENão se aplicaFora ponta",Mercado_Receita!$L$2:$L$170)+SUMIF(Mercado_Receita!$S$2:$S$170,"44593A4AzulNão se aplicaNão se aplicaAPENão se aplicaIntermediário",Mercado_Receita!$L$2:$L$170)+SUMIF(Mercado_Receita!$S$2:$S$170,"44593A4AzulNão se aplicaNão se aplicaAPENão se aplicaNão se aplica",Mercado_Receita!$L$2:$L$170)</f>
        <v>0</v>
      </c>
      <c r="O5" s="12">
        <f>SUMIF(Mercado_Receita!$S$2:$S$170,"44621A4AzulNão se aplicaNão se aplicaAPENão se aplicaPonta",Mercado_Receita!$L$2:$L$170)+SUMIF(Mercado_Receita!$S$2:$S$170,"44621A4AzulNão se aplicaNão se aplicaAPENão se aplicaFora ponta",Mercado_Receita!$L$2:$L$170)+SUMIF(Mercado_Receita!$S$2:$S$170,"44621A4AzulNão se aplicaNão se aplicaAPENão se aplicaIntermediário",Mercado_Receita!$L$2:$L$170)+SUMIF(Mercado_Receita!$S$2:$S$170,"44621A4AzulNão se aplicaNão se aplicaAPENão se aplicaNão se aplica",Mercado_Receita!$L$2:$L$170)</f>
        <v>0</v>
      </c>
      <c r="P5" s="12">
        <f>SUMIF(Mercado_Receita!$S$2:$S$170,"44652A4AzulNão se aplicaNão se aplicaAPENão se aplicaPonta",Mercado_Receita!$L$2:$L$170)+SUMIF(Mercado_Receita!$S$2:$S$170,"44652A4AzulNão se aplicaNão se aplicaAPENão se aplicaFora ponta",Mercado_Receita!$L$2:$L$170)+SUMIF(Mercado_Receita!$S$2:$S$170,"44652A4AzulNão se aplicaNão se aplicaAPENão se aplicaIntermediário",Mercado_Receita!$L$2:$L$170)+SUMIF(Mercado_Receita!$S$2:$S$170,"44652A4AzulNão se aplicaNão se aplicaAPENão se aplicaNão se aplica",Mercado_Receita!$L$2:$L$170)</f>
        <v>0</v>
      </c>
      <c r="Q5" s="12">
        <f>SUMIF(Mercado_Receita!$S$2:$S$170,"44682A4AzulNão se aplicaNão se aplicaAPENão se aplicaPonta",Mercado_Receita!$L$2:$L$170)+SUMIF(Mercado_Receita!$S$2:$S$170,"44682A4AzulNão se aplicaNão se aplicaAPENão se aplicaFora ponta",Mercado_Receita!$L$2:$L$170)+SUMIF(Mercado_Receita!$S$2:$S$170,"44682A4AzulNão se aplicaNão se aplicaAPENão se aplicaIntermediário",Mercado_Receita!$L$2:$L$170)+SUMIF(Mercado_Receita!$S$2:$S$170,"44682A4AzulNão se aplicaNão se aplicaAPENão se aplicaNão se aplica",Mercado_Receita!$L$2:$L$170)</f>
        <v>0</v>
      </c>
      <c r="R5" s="12">
        <f>SUMIF(Mercado_Receita!$S$2:$S$170,"44713A4AzulNão se aplicaNão se aplicaAPENão se aplicaPonta",Mercado_Receita!$L$2:$L$170)+SUMIF(Mercado_Receita!$S$2:$S$170,"44713A4AzulNão se aplicaNão se aplicaAPENão se aplicaFora ponta",Mercado_Receita!$L$2:$L$170)+SUMIF(Mercado_Receita!$S$2:$S$170,"44713A4AzulNão se aplicaNão se aplicaAPENão se aplicaIntermediário",Mercado_Receita!$L$2:$L$170)+SUMIF(Mercado_Receita!$S$2:$S$170,"44713A4AzulNão se aplicaNão se aplicaAPENão se aplicaNão se aplica",Mercado_Receita!$L$2:$L$170)</f>
        <v>0</v>
      </c>
      <c r="S5" s="12">
        <f>SUMIF(Mercado_Receita!$S$2:$S$170,"44743A4AzulNão se aplicaNão se aplicaAPENão se aplicaPonta",Mercado_Receita!$L$2:$L$170)+SUMIF(Mercado_Receita!$S$2:$S$170,"44743A4AzulNão se aplicaNão se aplicaAPENão se aplicaFora ponta",Mercado_Receita!$L$2:$L$170)+SUMIF(Mercado_Receita!$S$2:$S$170,"44743A4AzulNão se aplicaNão se aplicaAPENão se aplicaIntermediário",Mercado_Receita!$L$2:$L$170)+SUMIF(Mercado_Receita!$S$2:$S$170,"44743A4AzulNão se aplicaNão se aplicaAPENão se aplicaNão se aplica",Mercado_Receita!$L$2:$L$170)</f>
        <v>0</v>
      </c>
      <c r="T5" s="12">
        <f>SUMIF(Mercado_Receita!$S$2:$S$170,"44774A4AzulNão se aplicaNão se aplicaAPENão se aplicaPonta",Mercado_Receita!$L$2:$L$170)+SUMIF(Mercado_Receita!$S$2:$S$170,"44774A4AzulNão se aplicaNão se aplicaAPENão se aplicaFora ponta",Mercado_Receita!$L$2:$L$170)+SUMIF(Mercado_Receita!$S$2:$S$170,"44774A4AzulNão se aplicaNão se aplicaAPENão se aplicaIntermediário",Mercado_Receita!$L$2:$L$170)+SUMIF(Mercado_Receita!$S$2:$S$170,"44774A4AzulNão se aplicaNão se aplicaAPENão se aplicaNão se aplica",Mercado_Receita!$L$2:$L$170)</f>
        <v>0</v>
      </c>
      <c r="U5" s="12">
        <f t="shared" si="0"/>
        <v>0</v>
      </c>
      <c r="V5" s="12"/>
      <c r="W5" s="12"/>
    </row>
    <row r="6" spans="1:30" ht="11.25" customHeight="1" x14ac:dyDescent="0.25">
      <c r="A6" s="90"/>
      <c r="B6" s="13" t="s">
        <v>71</v>
      </c>
      <c r="C6" s="13" t="s">
        <v>25</v>
      </c>
      <c r="D6" s="13" t="s">
        <v>25</v>
      </c>
      <c r="E6" s="13" t="s">
        <v>25</v>
      </c>
      <c r="F6" s="13" t="s">
        <v>25</v>
      </c>
      <c r="G6" s="12" t="s">
        <v>9</v>
      </c>
      <c r="H6" s="12" t="s">
        <v>66</v>
      </c>
      <c r="I6" s="12">
        <f>SUMIF(Mercado_Receita!$S$2:$S$170,"44440A4GeraçãoNão se aplicaNão se aplicaNão se aplicaNão se aplicaNão se aplica",Mercado_Receita!$J$2:$J$170)+SUMIF(Mercado_Receita!$S$2:$S$170,"44440A4GeraçãoNão se aplicaNão se aplicaAPENão se aplicaNão se aplica",Mercado_Receita!$J$2:$J$170)</f>
        <v>0</v>
      </c>
      <c r="J6" s="12">
        <f>SUMIF(Mercado_Receita!$S$2:$S$170,"44470A4GeraçãoNão se aplicaNão se aplicaNão se aplicaNão se aplicaNão se aplica",Mercado_Receita!$J$2:$J$170)+SUMIF(Mercado_Receita!$S$2:$S$170,"44470A4GeraçãoNão se aplicaNão se aplicaAPENão se aplicaNão se aplica",Mercado_Receita!$J$2:$J$170)</f>
        <v>0</v>
      </c>
      <c r="K6" s="12">
        <f>SUMIF(Mercado_Receita!$S$2:$S$170,"44501A4GeraçãoNão se aplicaNão se aplicaNão se aplicaNão se aplicaNão se aplica",Mercado_Receita!$J$2:$J$170)+SUMIF(Mercado_Receita!$S$2:$S$170,"44501A4GeraçãoNão se aplicaNão se aplicaAPENão se aplicaNão se aplica",Mercado_Receita!$J$2:$J$170)</f>
        <v>0</v>
      </c>
      <c r="L6" s="12">
        <f>SUMIF(Mercado_Receita!$S$2:$S$170,"44531A4GeraçãoNão se aplicaNão se aplicaNão se aplicaNão se aplicaNão se aplica",Mercado_Receita!$J$2:$J$170)+SUMIF(Mercado_Receita!$S$2:$S$170,"44531A4GeraçãoNão se aplicaNão se aplicaAPENão se aplicaNão se aplica",Mercado_Receita!$J$2:$J$170)</f>
        <v>0</v>
      </c>
      <c r="M6" s="12">
        <f>SUMIF(Mercado_Receita!$S$2:$S$170,"44562A4GeraçãoNão se aplicaNão se aplicaNão se aplicaNão se aplicaNão se aplica",Mercado_Receita!$J$2:$J$170)+SUMIF(Mercado_Receita!$S$2:$S$170,"44562A4GeraçãoNão se aplicaNão se aplicaAPENão se aplicaNão se aplica",Mercado_Receita!$J$2:$J$170)</f>
        <v>0</v>
      </c>
      <c r="N6" s="12">
        <f>SUMIF(Mercado_Receita!$S$2:$S$170,"44593A4GeraçãoNão se aplicaNão se aplicaNão se aplicaNão se aplicaNão se aplica",Mercado_Receita!$J$2:$J$170)+SUMIF(Mercado_Receita!$S$2:$S$170,"44593A4GeraçãoNão se aplicaNão se aplicaAPENão se aplicaNão se aplica",Mercado_Receita!$J$2:$J$170)</f>
        <v>0</v>
      </c>
      <c r="O6" s="12">
        <f>SUMIF(Mercado_Receita!$S$2:$S$170,"44621A4GeraçãoNão se aplicaNão se aplicaNão se aplicaNão se aplicaNão se aplica",Mercado_Receita!$J$2:$J$170)+SUMIF(Mercado_Receita!$S$2:$S$170,"44621A4GeraçãoNão se aplicaNão se aplicaAPENão se aplicaNão se aplica",Mercado_Receita!$J$2:$J$170)</f>
        <v>0</v>
      </c>
      <c r="P6" s="12">
        <f>SUMIF(Mercado_Receita!$S$2:$S$170,"44652A4GeraçãoNão se aplicaNão se aplicaNão se aplicaNão se aplicaNão se aplica",Mercado_Receita!$J$2:$J$170)+SUMIF(Mercado_Receita!$S$2:$S$170,"44652A4GeraçãoNão se aplicaNão se aplicaAPENão se aplicaNão se aplica",Mercado_Receita!$J$2:$J$170)</f>
        <v>0</v>
      </c>
      <c r="Q6" s="12">
        <f>SUMIF(Mercado_Receita!$S$2:$S$170,"44682A4GeraçãoNão se aplicaNão se aplicaNão se aplicaNão se aplicaNão se aplica",Mercado_Receita!$J$2:$J$170)+SUMIF(Mercado_Receita!$S$2:$S$170,"44682A4GeraçãoNão se aplicaNão se aplicaAPENão se aplicaNão se aplica",Mercado_Receita!$J$2:$J$170)</f>
        <v>0</v>
      </c>
      <c r="R6" s="12">
        <f>SUMIF(Mercado_Receita!$S$2:$S$170,"44713A4GeraçãoNão se aplicaNão se aplicaNão se aplicaNão se aplicaNão se aplica",Mercado_Receita!$J$2:$J$170)+SUMIF(Mercado_Receita!$S$2:$S$170,"44713A4GeraçãoNão se aplicaNão se aplicaAPENão se aplicaNão se aplica",Mercado_Receita!$J$2:$J$170)</f>
        <v>0</v>
      </c>
      <c r="S6" s="12">
        <f>SUMIF(Mercado_Receita!$S$2:$S$170,"44743A4GeraçãoNão se aplicaNão se aplicaNão se aplicaNão se aplicaNão se aplica",Mercado_Receita!$J$2:$J$170)+SUMIF(Mercado_Receita!$S$2:$S$170,"44743A4GeraçãoNão se aplicaNão se aplicaAPENão se aplicaNão se aplica",Mercado_Receita!$J$2:$J$170)</f>
        <v>0</v>
      </c>
      <c r="T6" s="12">
        <f>SUMIF(Mercado_Receita!$S$2:$S$170,"44774A4GeraçãoNão se aplicaNão se aplicaNão se aplicaNão se aplicaNão se aplica",Mercado_Receita!$J$2:$J$170)+SUMIF(Mercado_Receita!$S$2:$S$170,"44774A4GeraçãoNão se aplicaNão se aplicaAPENão se aplicaNão se aplica",Mercado_Receita!$J$2:$J$170)</f>
        <v>0</v>
      </c>
      <c r="U6" s="12">
        <f t="shared" si="0"/>
        <v>0</v>
      </c>
      <c r="V6" s="12"/>
      <c r="W6" s="12"/>
    </row>
    <row r="7" spans="1:30" ht="11.25" customHeight="1" x14ac:dyDescent="0.25">
      <c r="A7" s="90"/>
      <c r="B7" s="89" t="s">
        <v>37</v>
      </c>
      <c r="C7" s="89" t="s">
        <v>25</v>
      </c>
      <c r="D7" s="89" t="s">
        <v>25</v>
      </c>
      <c r="E7" s="89" t="s">
        <v>25</v>
      </c>
      <c r="F7" s="89" t="s">
        <v>25</v>
      </c>
      <c r="G7" s="12" t="s">
        <v>9</v>
      </c>
      <c r="H7" s="12" t="s">
        <v>66</v>
      </c>
      <c r="I7" s="12">
        <f>SUMIF(Mercado_Receita!$S$2:$S$170,"44440A4VerdeNão se aplicaNão se aplicaNão se aplicaNão se aplicaNão se aplica",Mercado_Receita!$J$2:$J$170)+SUMIF(Mercado_Receita!$S$2:$S$170,"44440A4VerdeNão se aplicaNão se aplicaAPENão se aplicaNão se aplica",Mercado_Receita!$J$2:$J$170)</f>
        <v>3766</v>
      </c>
      <c r="J7" s="12">
        <f>SUMIF(Mercado_Receita!$S$2:$S$170,"44470A4VerdeNão se aplicaNão se aplicaNão se aplicaNão se aplicaNão se aplica",Mercado_Receita!$J$2:$J$170)+SUMIF(Mercado_Receita!$S$2:$S$170,"44470A4VerdeNão se aplicaNão se aplicaAPENão se aplicaNão se aplica",Mercado_Receita!$J$2:$J$170)</f>
        <v>3770</v>
      </c>
      <c r="K7" s="12">
        <f>SUMIF(Mercado_Receita!$S$2:$S$170,"44501A4VerdeNão se aplicaNão se aplicaNão se aplicaNão se aplicaNão se aplica",Mercado_Receita!$J$2:$J$170)+SUMIF(Mercado_Receita!$S$2:$S$170,"44501A4VerdeNão se aplicaNão se aplicaAPENão se aplicaNão se aplica",Mercado_Receita!$J$2:$J$170)</f>
        <v>3791</v>
      </c>
      <c r="L7" s="12">
        <f>SUMIF(Mercado_Receita!$S$2:$S$170,"44531A4VerdeNão se aplicaNão se aplicaNão se aplicaNão se aplicaNão se aplica",Mercado_Receita!$J$2:$J$170)+SUMIF(Mercado_Receita!$S$2:$S$170,"44531A4VerdeNão se aplicaNão se aplicaAPENão se aplicaNão se aplica",Mercado_Receita!$J$2:$J$170)</f>
        <v>3776</v>
      </c>
      <c r="M7" s="12">
        <f>SUMIF(Mercado_Receita!$S$2:$S$170,"44562A4VerdeNão se aplicaNão se aplicaNão se aplicaNão se aplicaNão se aplica",Mercado_Receita!$J$2:$J$170)+SUMIF(Mercado_Receita!$S$2:$S$170,"44562A4VerdeNão se aplicaNão se aplicaAPENão se aplicaNão se aplica",Mercado_Receita!$J$2:$J$170)</f>
        <v>3775</v>
      </c>
      <c r="N7" s="12">
        <f>SUMIF(Mercado_Receita!$S$2:$S$170,"44593A4VerdeNão se aplicaNão se aplicaNão se aplicaNão se aplicaNão se aplica",Mercado_Receita!$J$2:$J$170)+SUMIF(Mercado_Receita!$S$2:$S$170,"44593A4VerdeNão se aplicaNão se aplicaAPENão se aplicaNão se aplica",Mercado_Receita!$J$2:$J$170)</f>
        <v>3778</v>
      </c>
      <c r="O7" s="12">
        <f>SUMIF(Mercado_Receita!$S$2:$S$170,"44621A4VerdeNão se aplicaNão se aplicaNão se aplicaNão se aplicaNão se aplica",Mercado_Receita!$J$2:$J$170)+SUMIF(Mercado_Receita!$S$2:$S$170,"44621A4VerdeNão se aplicaNão se aplicaAPENão se aplicaNão se aplica",Mercado_Receita!$J$2:$J$170)</f>
        <v>3776</v>
      </c>
      <c r="P7" s="12">
        <f>SUMIF(Mercado_Receita!$S$2:$S$170,"44652A4VerdeNão se aplicaNão se aplicaNão se aplicaNão se aplicaNão se aplica",Mercado_Receita!$J$2:$J$170)+SUMIF(Mercado_Receita!$S$2:$S$170,"44652A4VerdeNão se aplicaNão se aplicaAPENão se aplicaNão se aplica",Mercado_Receita!$J$2:$J$170)</f>
        <v>3788</v>
      </c>
      <c r="Q7" s="12">
        <f>SUMIF(Mercado_Receita!$S$2:$S$170,"44682A4VerdeNão se aplicaNão se aplicaNão se aplicaNão se aplicaNão se aplica",Mercado_Receita!$J$2:$J$170)+SUMIF(Mercado_Receita!$S$2:$S$170,"44682A4VerdeNão se aplicaNão se aplicaAPENão se aplicaNão se aplica",Mercado_Receita!$J$2:$J$170)</f>
        <v>3810</v>
      </c>
      <c r="R7" s="12">
        <f>SUMIF(Mercado_Receita!$S$2:$S$170,"44713A4VerdeNão se aplicaNão se aplicaNão se aplicaNão se aplicaNão se aplica",Mercado_Receita!$J$2:$J$170)+SUMIF(Mercado_Receita!$S$2:$S$170,"44713A4VerdeNão se aplicaNão se aplicaAPENão se aplicaNão se aplica",Mercado_Receita!$J$2:$J$170)</f>
        <v>3814</v>
      </c>
      <c r="S7" s="12">
        <f>SUMIF(Mercado_Receita!$S$2:$S$170,"44743A4VerdeNão se aplicaNão se aplicaNão se aplicaNão se aplicaNão se aplica",Mercado_Receita!$J$2:$J$170)+SUMIF(Mercado_Receita!$S$2:$S$170,"44743A4VerdeNão se aplicaNão se aplicaAPENão se aplicaNão se aplica",Mercado_Receita!$J$2:$J$170)</f>
        <v>3470</v>
      </c>
      <c r="T7" s="12">
        <f>SUMIF(Mercado_Receita!$S$2:$S$170,"44774A4VerdeNão se aplicaNão se aplicaNão se aplicaNão se aplicaNão se aplica",Mercado_Receita!$J$2:$J$170)+SUMIF(Mercado_Receita!$S$2:$S$170,"44774A4VerdeNão se aplicaNão se aplicaAPENão se aplicaNão se aplica",Mercado_Receita!$J$2:$J$170)</f>
        <v>3473</v>
      </c>
      <c r="U7" s="12">
        <f t="shared" si="0"/>
        <v>44787</v>
      </c>
      <c r="V7" s="12"/>
      <c r="W7" s="12"/>
    </row>
    <row r="8" spans="1:30" ht="11.25" customHeight="1" x14ac:dyDescent="0.25">
      <c r="A8" s="90"/>
      <c r="B8" s="90"/>
      <c r="C8" s="90"/>
      <c r="D8" s="90"/>
      <c r="E8" s="90"/>
      <c r="F8" s="90"/>
      <c r="G8" s="12" t="s">
        <v>64</v>
      </c>
      <c r="H8" s="12" t="s">
        <v>63</v>
      </c>
      <c r="I8" s="12">
        <f>SUMIF(Mercado_Receita!$S$2:$S$170,"44440A4VerdeNão se aplicaNão se aplicaNão se aplicaNão se aplicaPonta",Mercado_Receita!$L$2:$L$170)</f>
        <v>72.278000000000006</v>
      </c>
      <c r="J8" s="12">
        <f>SUMIF(Mercado_Receita!$S$2:$S$170,"44470A4VerdeNão se aplicaNão se aplicaNão se aplicaNão se aplicaPonta",Mercado_Receita!$L$2:$L$170)</f>
        <v>74.361000000000004</v>
      </c>
      <c r="K8" s="12">
        <f>SUMIF(Mercado_Receita!$S$2:$S$170,"44501A4VerdeNão se aplicaNão se aplicaNão se aplicaNão se aplicaPonta",Mercado_Receita!$L$2:$L$170)</f>
        <v>66.813000000000002</v>
      </c>
      <c r="L8" s="12">
        <f>SUMIF(Mercado_Receita!$S$2:$S$170,"44531A4VerdeNão se aplicaNão se aplicaNão se aplicaNão se aplicaPonta",Mercado_Receita!$L$2:$L$170)</f>
        <v>48.868000000000002</v>
      </c>
      <c r="M8" s="12">
        <f>SUMIF(Mercado_Receita!$S$2:$S$170,"44562A4VerdeNão se aplicaNão se aplicaNão se aplicaNão se aplicaPonta",Mercado_Receita!$L$2:$L$170)</f>
        <v>45.069000000000003</v>
      </c>
      <c r="N8" s="12">
        <f>SUMIF(Mercado_Receita!$S$2:$S$170,"44593A4VerdeNão se aplicaNão se aplicaNão se aplicaNão se aplicaPonta",Mercado_Receita!$L$2:$L$170)</f>
        <v>59.723999999999997</v>
      </c>
      <c r="O8" s="12">
        <f>SUMIF(Mercado_Receita!$S$2:$S$170,"44621A4VerdeNão se aplicaNão se aplicaNão se aplicaNão se aplicaPonta",Mercado_Receita!$L$2:$L$170)</f>
        <v>67.793999999999997</v>
      </c>
      <c r="P8" s="12">
        <f>SUMIF(Mercado_Receita!$S$2:$S$170,"44652A4VerdeNão se aplicaNão se aplicaNão se aplicaNão se aplicaPonta",Mercado_Receita!$L$2:$L$170)</f>
        <v>53.433</v>
      </c>
      <c r="Q8" s="12">
        <f>SUMIF(Mercado_Receita!$S$2:$S$170,"44682A4VerdeNão se aplicaNão se aplicaNão se aplicaNão se aplicaPonta",Mercado_Receita!$L$2:$L$170)</f>
        <v>69.762</v>
      </c>
      <c r="R8" s="12">
        <f>SUMIF(Mercado_Receita!$S$2:$S$170,"44713A4VerdeNão se aplicaNão se aplicaNão se aplicaNão se aplicaPonta",Mercado_Receita!$L$2:$L$170)</f>
        <v>69.900999999999996</v>
      </c>
      <c r="S8" s="12">
        <f>SUMIF(Mercado_Receita!$S$2:$S$170,"44743A4VerdeNão se aplicaNão se aplicaNão se aplicaNão se aplicaPonta",Mercado_Receita!$L$2:$L$170)</f>
        <v>70.543999999999997</v>
      </c>
      <c r="T8" s="12">
        <f>SUMIF(Mercado_Receita!$S$2:$S$170,"44774A4VerdeNão se aplicaNão se aplicaNão se aplicaNão se aplicaPonta",Mercado_Receita!$L$2:$L$170)</f>
        <v>72.47</v>
      </c>
      <c r="U8" s="12">
        <f t="shared" si="0"/>
        <v>771.01699999999994</v>
      </c>
      <c r="V8" s="12"/>
      <c r="W8" s="12"/>
    </row>
    <row r="9" spans="1:30" ht="11.25" customHeight="1" x14ac:dyDescent="0.25">
      <c r="A9" s="90"/>
      <c r="B9" s="90"/>
      <c r="C9" s="90"/>
      <c r="D9" s="90"/>
      <c r="E9" s="90"/>
      <c r="F9" s="90"/>
      <c r="G9" s="12" t="s">
        <v>65</v>
      </c>
      <c r="H9" s="12" t="s">
        <v>63</v>
      </c>
      <c r="I9" s="12">
        <f>SUMIF(Mercado_Receita!$S$2:$S$170,"44440A4VerdeNão se aplicaNão se aplicaNão se aplicaNão se aplicaFora ponta",Mercado_Receita!$L$2:$L$170)</f>
        <v>793.62900000000002</v>
      </c>
      <c r="J9" s="12">
        <f>SUMIF(Mercado_Receita!$S$2:$S$170,"44470A4VerdeNão se aplicaNão se aplicaNão se aplicaNão se aplicaFora ponta",Mercado_Receita!$L$2:$L$170)</f>
        <v>839.27700000000004</v>
      </c>
      <c r="K9" s="12">
        <f>SUMIF(Mercado_Receita!$S$2:$S$170,"44501A4VerdeNão se aplicaNão se aplicaNão se aplicaNão se aplicaFora ponta",Mercado_Receita!$L$2:$L$170)</f>
        <v>813.45100000000002</v>
      </c>
      <c r="L9" s="12">
        <f>SUMIF(Mercado_Receita!$S$2:$S$170,"44531A4VerdeNão se aplicaNão se aplicaNão se aplicaNão se aplicaFora ponta",Mercado_Receita!$L$2:$L$170)</f>
        <v>570.33299999999997</v>
      </c>
      <c r="M9" s="12">
        <f>SUMIF(Mercado_Receita!$S$2:$S$170,"44562A4VerdeNão se aplicaNão se aplicaNão se aplicaNão se aplicaFora ponta",Mercado_Receita!$L$2:$L$170)</f>
        <v>540.96799999999996</v>
      </c>
      <c r="N9" s="12">
        <f>SUMIF(Mercado_Receita!$S$2:$S$170,"44593A4VerdeNão se aplicaNão se aplicaNão se aplicaNão se aplicaFora ponta",Mercado_Receita!$L$2:$L$170)</f>
        <v>697.9</v>
      </c>
      <c r="O9" s="12">
        <f>SUMIF(Mercado_Receita!$S$2:$S$170,"44621A4VerdeNão se aplicaNão se aplicaNão se aplicaNão se aplicaFora ponta",Mercado_Receita!$L$2:$L$170)</f>
        <v>812.10500000000002</v>
      </c>
      <c r="P9" s="12">
        <f>SUMIF(Mercado_Receita!$S$2:$S$170,"44652A4VerdeNão se aplicaNão se aplicaNão se aplicaNão se aplicaFora ponta",Mercado_Receita!$L$2:$L$170)</f>
        <v>686.30200000000002</v>
      </c>
      <c r="Q9" s="12">
        <f>SUMIF(Mercado_Receita!$S$2:$S$170,"44682A4VerdeNão se aplicaNão se aplicaNão se aplicaNão se aplicaFora ponta",Mercado_Receita!$L$2:$L$170)</f>
        <v>821.25599999999997</v>
      </c>
      <c r="R9" s="12">
        <f>SUMIF(Mercado_Receita!$S$2:$S$170,"44713A4VerdeNão se aplicaNão se aplicaNão se aplicaNão se aplicaFora ponta",Mercado_Receita!$L$2:$L$170)</f>
        <v>813.048</v>
      </c>
      <c r="S9" s="12">
        <f>SUMIF(Mercado_Receita!$S$2:$S$170,"44743A4VerdeNão se aplicaNão se aplicaNão se aplicaNão se aplicaFora ponta",Mercado_Receita!$L$2:$L$170)</f>
        <v>783.96100000000001</v>
      </c>
      <c r="T9" s="12">
        <f>SUMIF(Mercado_Receita!$S$2:$S$170,"44774A4VerdeNão se aplicaNão se aplicaNão se aplicaNão se aplicaFora ponta",Mercado_Receita!$L$2:$L$170)</f>
        <v>851.34699999999998</v>
      </c>
      <c r="U9" s="12">
        <f t="shared" si="0"/>
        <v>9023.5770000000011</v>
      </c>
      <c r="V9" s="12"/>
      <c r="W9" s="12"/>
    </row>
    <row r="10" spans="1:30" ht="11.25" customHeight="1" x14ac:dyDescent="0.25">
      <c r="A10" s="90"/>
      <c r="B10" s="90"/>
      <c r="C10" s="90"/>
      <c r="D10" s="90"/>
      <c r="E10" s="89" t="s">
        <v>70</v>
      </c>
      <c r="F10" s="89" t="s">
        <v>25</v>
      </c>
      <c r="G10" s="12" t="s">
        <v>64</v>
      </c>
      <c r="H10" s="12" t="s">
        <v>63</v>
      </c>
      <c r="I10" s="12">
        <f>SUMIF(Mercado_Receita!$S$2:$S$170,"44440A4VerdeNão se aplicaNão se aplicaAPENão se aplicaPonta",Mercado_Receita!$L$2:$L$170)</f>
        <v>0</v>
      </c>
      <c r="J10" s="12">
        <f>SUMIF(Mercado_Receita!$S$2:$S$170,"44470A4VerdeNão se aplicaNão se aplicaAPENão se aplicaPonta",Mercado_Receita!$L$2:$L$170)</f>
        <v>0</v>
      </c>
      <c r="K10" s="12">
        <f>SUMIF(Mercado_Receita!$S$2:$S$170,"44501A4VerdeNão se aplicaNão se aplicaAPENão se aplicaPonta",Mercado_Receita!$L$2:$L$170)</f>
        <v>0</v>
      </c>
      <c r="L10" s="12">
        <f>SUMIF(Mercado_Receita!$S$2:$S$170,"44531A4VerdeNão se aplicaNão se aplicaAPENão se aplicaPonta",Mercado_Receita!$L$2:$L$170)</f>
        <v>0</v>
      </c>
      <c r="M10" s="12">
        <f>SUMIF(Mercado_Receita!$S$2:$S$170,"44562A4VerdeNão se aplicaNão se aplicaAPENão se aplicaPonta",Mercado_Receita!$L$2:$L$170)</f>
        <v>0</v>
      </c>
      <c r="N10" s="12">
        <f>SUMIF(Mercado_Receita!$S$2:$S$170,"44593A4VerdeNão se aplicaNão se aplicaAPENão se aplicaPonta",Mercado_Receita!$L$2:$L$170)</f>
        <v>0</v>
      </c>
      <c r="O10" s="12">
        <f>SUMIF(Mercado_Receita!$S$2:$S$170,"44621A4VerdeNão se aplicaNão se aplicaAPENão se aplicaPonta",Mercado_Receita!$L$2:$L$170)</f>
        <v>0</v>
      </c>
      <c r="P10" s="12">
        <f>SUMIF(Mercado_Receita!$S$2:$S$170,"44652A4VerdeNão se aplicaNão se aplicaAPENão se aplicaPonta",Mercado_Receita!$L$2:$L$170)</f>
        <v>0</v>
      </c>
      <c r="Q10" s="12">
        <f>SUMIF(Mercado_Receita!$S$2:$S$170,"44682A4VerdeNão se aplicaNão se aplicaAPENão se aplicaPonta",Mercado_Receita!$L$2:$L$170)</f>
        <v>0</v>
      </c>
      <c r="R10" s="12">
        <f>SUMIF(Mercado_Receita!$S$2:$S$170,"44713A4VerdeNão se aplicaNão se aplicaAPENão se aplicaPonta",Mercado_Receita!$L$2:$L$170)</f>
        <v>0</v>
      </c>
      <c r="S10" s="12">
        <f>SUMIF(Mercado_Receita!$S$2:$S$170,"44743A4VerdeNão se aplicaNão se aplicaAPENão se aplicaPonta",Mercado_Receita!$L$2:$L$170)</f>
        <v>0</v>
      </c>
      <c r="T10" s="12">
        <f>SUMIF(Mercado_Receita!$S$2:$S$170,"44774A4VerdeNão se aplicaNão se aplicaAPENão se aplicaPonta",Mercado_Receita!$L$2:$L$170)</f>
        <v>0</v>
      </c>
      <c r="U10" s="12">
        <f t="shared" si="0"/>
        <v>0</v>
      </c>
      <c r="V10" s="12"/>
      <c r="W10" s="12"/>
    </row>
    <row r="11" spans="1:30" ht="11.25" customHeight="1" x14ac:dyDescent="0.25">
      <c r="A11" s="90"/>
      <c r="B11" s="90"/>
      <c r="C11" s="90"/>
      <c r="D11" s="90"/>
      <c r="E11" s="90"/>
      <c r="F11" s="90"/>
      <c r="G11" s="12" t="s">
        <v>65</v>
      </c>
      <c r="H11" s="12" t="s">
        <v>63</v>
      </c>
      <c r="I11" s="12">
        <f>SUMIF(Mercado_Receita!$S$2:$S$170,"44440A4VerdeNão se aplicaNão se aplicaAPENão se aplicaFora ponta",Mercado_Receita!$L$2:$L$170)</f>
        <v>0</v>
      </c>
      <c r="J11" s="12">
        <f>SUMIF(Mercado_Receita!$S$2:$S$170,"44470A4VerdeNão se aplicaNão se aplicaAPENão se aplicaFora ponta",Mercado_Receita!$L$2:$L$170)</f>
        <v>0</v>
      </c>
      <c r="K11" s="12">
        <f>SUMIF(Mercado_Receita!$S$2:$S$170,"44501A4VerdeNão se aplicaNão se aplicaAPENão se aplicaFora ponta",Mercado_Receita!$L$2:$L$170)</f>
        <v>0</v>
      </c>
      <c r="L11" s="12">
        <f>SUMIF(Mercado_Receita!$S$2:$S$170,"44531A4VerdeNão se aplicaNão se aplicaAPENão se aplicaFora ponta",Mercado_Receita!$L$2:$L$170)</f>
        <v>0</v>
      </c>
      <c r="M11" s="12">
        <f>SUMIF(Mercado_Receita!$S$2:$S$170,"44562A4VerdeNão se aplicaNão se aplicaAPENão se aplicaFora ponta",Mercado_Receita!$L$2:$L$170)</f>
        <v>0</v>
      </c>
      <c r="N11" s="12">
        <f>SUMIF(Mercado_Receita!$S$2:$S$170,"44593A4VerdeNão se aplicaNão se aplicaAPENão se aplicaFora ponta",Mercado_Receita!$L$2:$L$170)</f>
        <v>0</v>
      </c>
      <c r="O11" s="12">
        <f>SUMIF(Mercado_Receita!$S$2:$S$170,"44621A4VerdeNão se aplicaNão se aplicaAPENão se aplicaFora ponta",Mercado_Receita!$L$2:$L$170)</f>
        <v>0</v>
      </c>
      <c r="P11" s="12">
        <f>SUMIF(Mercado_Receita!$S$2:$S$170,"44652A4VerdeNão se aplicaNão se aplicaAPENão se aplicaFora ponta",Mercado_Receita!$L$2:$L$170)</f>
        <v>0</v>
      </c>
      <c r="Q11" s="12">
        <f>SUMIF(Mercado_Receita!$S$2:$S$170,"44682A4VerdeNão se aplicaNão se aplicaAPENão se aplicaFora ponta",Mercado_Receita!$L$2:$L$170)</f>
        <v>0</v>
      </c>
      <c r="R11" s="12">
        <f>SUMIF(Mercado_Receita!$S$2:$S$170,"44713A4VerdeNão se aplicaNão se aplicaAPENão se aplicaFora ponta",Mercado_Receita!$L$2:$L$170)</f>
        <v>0</v>
      </c>
      <c r="S11" s="12">
        <f>SUMIF(Mercado_Receita!$S$2:$S$170,"44743A4VerdeNão se aplicaNão se aplicaAPENão se aplicaFora ponta",Mercado_Receita!$L$2:$L$170)</f>
        <v>0</v>
      </c>
      <c r="T11" s="12">
        <f>SUMIF(Mercado_Receita!$S$2:$S$170,"44774A4VerdeNão se aplicaNão se aplicaAPENão se aplicaFora ponta",Mercado_Receita!$L$2:$L$170)</f>
        <v>0</v>
      </c>
      <c r="U11" s="12">
        <f t="shared" si="0"/>
        <v>0</v>
      </c>
      <c r="V11" s="12"/>
      <c r="W11" s="12"/>
    </row>
    <row r="12" spans="1:30" ht="11.25" customHeight="1" x14ac:dyDescent="0.25">
      <c r="A12" s="89" t="s">
        <v>72</v>
      </c>
      <c r="B12" s="89" t="s">
        <v>71</v>
      </c>
      <c r="C12" s="89" t="s">
        <v>25</v>
      </c>
      <c r="D12" s="89" t="s">
        <v>25</v>
      </c>
      <c r="E12" s="13" t="s">
        <v>73</v>
      </c>
      <c r="F12" s="13" t="s">
        <v>25</v>
      </c>
      <c r="G12" s="12" t="s">
        <v>9</v>
      </c>
      <c r="H12" s="12" t="s">
        <v>66</v>
      </c>
      <c r="I12" s="12">
        <f>SUMIF(Mercado_Receita!$S$2:$S$170,"44440BGeraçãoNão se aplicaNão se aplicaTIPO 01Não se aplicaNão se aplica",Mercado_Receita!$J$2:$J$170)+SUMIF(Mercado_Receita!$S$2:$S$170,"44440BGeraçãoNão se aplicaNão se aplicaAPENão se aplicaNão se aplica",Mercado_Receita!$J$2:$J$170)</f>
        <v>0</v>
      </c>
      <c r="J12" s="12">
        <f>SUMIF(Mercado_Receita!$S$2:$S$170,"44470BGeraçãoNão se aplicaNão se aplicaTIPO 01Não se aplicaNão se aplica",Mercado_Receita!$J$2:$J$170)+SUMIF(Mercado_Receita!$S$2:$S$170,"44470BGeraçãoNão se aplicaNão se aplicaAPENão se aplicaNão se aplica",Mercado_Receita!$J$2:$J$170)</f>
        <v>0</v>
      </c>
      <c r="K12" s="12">
        <f>SUMIF(Mercado_Receita!$S$2:$S$170,"44501BGeraçãoNão se aplicaNão se aplicaTIPO 01Não se aplicaNão se aplica",Mercado_Receita!$J$2:$J$170)+SUMIF(Mercado_Receita!$S$2:$S$170,"44501BGeraçãoNão se aplicaNão se aplicaAPENão se aplicaNão se aplica",Mercado_Receita!$J$2:$J$170)</f>
        <v>0</v>
      </c>
      <c r="L12" s="12">
        <f>SUMIF(Mercado_Receita!$S$2:$S$170,"44531BGeraçãoNão se aplicaNão se aplicaTIPO 01Não se aplicaNão se aplica",Mercado_Receita!$J$2:$J$170)+SUMIF(Mercado_Receita!$S$2:$S$170,"44531BGeraçãoNão se aplicaNão se aplicaAPENão se aplicaNão se aplica",Mercado_Receita!$J$2:$J$170)</f>
        <v>0</v>
      </c>
      <c r="M12" s="12">
        <f>SUMIF(Mercado_Receita!$S$2:$S$170,"44562BGeraçãoNão se aplicaNão se aplicaTIPO 01Não se aplicaNão se aplica",Mercado_Receita!$J$2:$J$170)+SUMIF(Mercado_Receita!$S$2:$S$170,"44562BGeraçãoNão se aplicaNão se aplicaAPENão se aplicaNão se aplica",Mercado_Receita!$J$2:$J$170)</f>
        <v>0</v>
      </c>
      <c r="N12" s="12">
        <f>SUMIF(Mercado_Receita!$S$2:$S$170,"44593BGeraçãoNão se aplicaNão se aplicaTIPO 01Não se aplicaNão se aplica",Mercado_Receita!$J$2:$J$170)+SUMIF(Mercado_Receita!$S$2:$S$170,"44593BGeraçãoNão se aplicaNão se aplicaAPENão se aplicaNão se aplica",Mercado_Receita!$J$2:$J$170)</f>
        <v>0</v>
      </c>
      <c r="O12" s="12">
        <f>SUMIF(Mercado_Receita!$S$2:$S$170,"44621BGeraçãoNão se aplicaNão se aplicaTIPO 01Não se aplicaNão se aplica",Mercado_Receita!$J$2:$J$170)+SUMIF(Mercado_Receita!$S$2:$S$170,"44621BGeraçãoNão se aplicaNão se aplicaAPENão se aplicaNão se aplica",Mercado_Receita!$J$2:$J$170)</f>
        <v>0</v>
      </c>
      <c r="P12" s="12">
        <f>SUMIF(Mercado_Receita!$S$2:$S$170,"44652BGeraçãoNão se aplicaNão se aplicaTIPO 01Não se aplicaNão se aplica",Mercado_Receita!$J$2:$J$170)+SUMIF(Mercado_Receita!$S$2:$S$170,"44652BGeraçãoNão se aplicaNão se aplicaAPENão se aplicaNão se aplica",Mercado_Receita!$J$2:$J$170)</f>
        <v>0</v>
      </c>
      <c r="Q12" s="12">
        <f>SUMIF(Mercado_Receita!$S$2:$S$170,"44682BGeraçãoNão se aplicaNão se aplicaTIPO 01Não se aplicaNão se aplica",Mercado_Receita!$J$2:$J$170)+SUMIF(Mercado_Receita!$S$2:$S$170,"44682BGeraçãoNão se aplicaNão se aplicaAPENão se aplicaNão se aplica",Mercado_Receita!$J$2:$J$170)</f>
        <v>0</v>
      </c>
      <c r="R12" s="12">
        <f>SUMIF(Mercado_Receita!$S$2:$S$170,"44713BGeraçãoNão se aplicaNão se aplicaTIPO 01Não se aplicaNão se aplica",Mercado_Receita!$J$2:$J$170)+SUMIF(Mercado_Receita!$S$2:$S$170,"44713BGeraçãoNão se aplicaNão se aplicaAPENão se aplicaNão se aplica",Mercado_Receita!$J$2:$J$170)</f>
        <v>0</v>
      </c>
      <c r="S12" s="12">
        <f>SUMIF(Mercado_Receita!$S$2:$S$170,"44743BGeraçãoNão se aplicaNão se aplicaTIPO 01Não se aplicaNão se aplica",Mercado_Receita!$J$2:$J$170)+SUMIF(Mercado_Receita!$S$2:$S$170,"44743BGeraçãoNão se aplicaNão se aplicaAPENão se aplicaNão se aplica",Mercado_Receita!$J$2:$J$170)</f>
        <v>0</v>
      </c>
      <c r="T12" s="12">
        <f>SUMIF(Mercado_Receita!$S$2:$S$170,"44774BGeraçãoNão se aplicaNão se aplicaTIPO 01Não se aplicaNão se aplica",Mercado_Receita!$J$2:$J$170)+SUMIF(Mercado_Receita!$S$2:$S$170,"44774BGeraçãoNão se aplicaNão se aplicaAPENão se aplicaNão se aplica",Mercado_Receita!$J$2:$J$170)</f>
        <v>0</v>
      </c>
      <c r="U12" s="12">
        <f t="shared" si="0"/>
        <v>0</v>
      </c>
      <c r="V12" s="12"/>
      <c r="W12" s="12"/>
    </row>
    <row r="13" spans="1:30" ht="11.25" customHeight="1" x14ac:dyDescent="0.25">
      <c r="A13" s="90"/>
      <c r="B13" s="90"/>
      <c r="C13" s="90"/>
      <c r="D13" s="90"/>
      <c r="E13" s="13" t="s">
        <v>74</v>
      </c>
      <c r="F13" s="13" t="s">
        <v>25</v>
      </c>
      <c r="G13" s="12" t="s">
        <v>9</v>
      </c>
      <c r="H13" s="12" t="s">
        <v>66</v>
      </c>
      <c r="I13" s="12">
        <f>SUMIF(Mercado_Receita!$S$2:$S$170,"44440BGeraçãoNão se aplicaNão se aplicaTIPO 02Não se aplicaNão se aplica",Mercado_Receita!$J$2:$J$170)+SUMIF(Mercado_Receita!$S$2:$S$170,"44440BGeraçãoNão se aplicaNão se aplicaAPENão se aplicaNão se aplica",Mercado_Receita!$J$2:$J$170)</f>
        <v>0</v>
      </c>
      <c r="J13" s="12">
        <f>SUMIF(Mercado_Receita!$S$2:$S$170,"44470BGeraçãoNão se aplicaNão se aplicaTIPO 02Não se aplicaNão se aplica",Mercado_Receita!$J$2:$J$170)+SUMIF(Mercado_Receita!$S$2:$S$170,"44470BGeraçãoNão se aplicaNão se aplicaAPENão se aplicaNão se aplica",Mercado_Receita!$J$2:$J$170)</f>
        <v>0</v>
      </c>
      <c r="K13" s="12">
        <f>SUMIF(Mercado_Receita!$S$2:$S$170,"44501BGeraçãoNão se aplicaNão se aplicaTIPO 02Não se aplicaNão se aplica",Mercado_Receita!$J$2:$J$170)+SUMIF(Mercado_Receita!$S$2:$S$170,"44501BGeraçãoNão se aplicaNão se aplicaAPENão se aplicaNão se aplica",Mercado_Receita!$J$2:$J$170)</f>
        <v>0</v>
      </c>
      <c r="L13" s="12">
        <f>SUMIF(Mercado_Receita!$S$2:$S$170,"44531BGeraçãoNão se aplicaNão se aplicaTIPO 02Não se aplicaNão se aplica",Mercado_Receita!$J$2:$J$170)+SUMIF(Mercado_Receita!$S$2:$S$170,"44531BGeraçãoNão se aplicaNão se aplicaAPENão se aplicaNão se aplica",Mercado_Receita!$J$2:$J$170)</f>
        <v>0</v>
      </c>
      <c r="M13" s="12">
        <f>SUMIF(Mercado_Receita!$S$2:$S$170,"44562BGeraçãoNão se aplicaNão se aplicaTIPO 02Não se aplicaNão se aplica",Mercado_Receita!$J$2:$J$170)+SUMIF(Mercado_Receita!$S$2:$S$170,"44562BGeraçãoNão se aplicaNão se aplicaAPENão se aplicaNão se aplica",Mercado_Receita!$J$2:$J$170)</f>
        <v>0</v>
      </c>
      <c r="N13" s="12">
        <f>SUMIF(Mercado_Receita!$S$2:$S$170,"44593BGeraçãoNão se aplicaNão se aplicaTIPO 02Não se aplicaNão se aplica",Mercado_Receita!$J$2:$J$170)+SUMIF(Mercado_Receita!$S$2:$S$170,"44593BGeraçãoNão se aplicaNão se aplicaAPENão se aplicaNão se aplica",Mercado_Receita!$J$2:$J$170)</f>
        <v>0</v>
      </c>
      <c r="O13" s="12">
        <f>SUMIF(Mercado_Receita!$S$2:$S$170,"44621BGeraçãoNão se aplicaNão se aplicaTIPO 02Não se aplicaNão se aplica",Mercado_Receita!$J$2:$J$170)+SUMIF(Mercado_Receita!$S$2:$S$170,"44621BGeraçãoNão se aplicaNão se aplicaAPENão se aplicaNão se aplica",Mercado_Receita!$J$2:$J$170)</f>
        <v>0</v>
      </c>
      <c r="P13" s="12">
        <f>SUMIF(Mercado_Receita!$S$2:$S$170,"44652BGeraçãoNão se aplicaNão se aplicaTIPO 02Não se aplicaNão se aplica",Mercado_Receita!$J$2:$J$170)+SUMIF(Mercado_Receita!$S$2:$S$170,"44652BGeraçãoNão se aplicaNão se aplicaAPENão se aplicaNão se aplica",Mercado_Receita!$J$2:$J$170)</f>
        <v>0</v>
      </c>
      <c r="Q13" s="12">
        <f>SUMIF(Mercado_Receita!$S$2:$S$170,"44682BGeraçãoNão se aplicaNão se aplicaTIPO 02Não se aplicaNão se aplica",Mercado_Receita!$J$2:$J$170)+SUMIF(Mercado_Receita!$S$2:$S$170,"44682BGeraçãoNão se aplicaNão se aplicaAPENão se aplicaNão se aplica",Mercado_Receita!$J$2:$J$170)</f>
        <v>0</v>
      </c>
      <c r="R13" s="12">
        <f>SUMIF(Mercado_Receita!$S$2:$S$170,"44713BGeraçãoNão se aplicaNão se aplicaTIPO 02Não se aplicaNão se aplica",Mercado_Receita!$J$2:$J$170)+SUMIF(Mercado_Receita!$S$2:$S$170,"44713BGeraçãoNão se aplicaNão se aplicaAPENão se aplicaNão se aplica",Mercado_Receita!$J$2:$J$170)</f>
        <v>0</v>
      </c>
      <c r="S13" s="12">
        <f>SUMIF(Mercado_Receita!$S$2:$S$170,"44743BGeraçãoNão se aplicaNão se aplicaTIPO 02Não se aplicaNão se aplica",Mercado_Receita!$J$2:$J$170)+SUMIF(Mercado_Receita!$S$2:$S$170,"44743BGeraçãoNão se aplicaNão se aplicaAPENão se aplicaNão se aplica",Mercado_Receita!$J$2:$J$170)</f>
        <v>0</v>
      </c>
      <c r="T13" s="12">
        <f>SUMIF(Mercado_Receita!$S$2:$S$170,"44774BGeraçãoNão se aplicaNão se aplicaTIPO 02Não se aplicaNão se aplica",Mercado_Receita!$J$2:$J$170)+SUMIF(Mercado_Receita!$S$2:$S$170,"44774BGeraçãoNão se aplicaNão se aplicaAPENão se aplicaNão se aplica",Mercado_Receita!$J$2:$J$170)</f>
        <v>0</v>
      </c>
      <c r="U13" s="12">
        <f t="shared" si="0"/>
        <v>0</v>
      </c>
      <c r="V13" s="12"/>
      <c r="W13" s="12"/>
    </row>
    <row r="14" spans="1:30" ht="11.25" customHeight="1" x14ac:dyDescent="0.25">
      <c r="A14" s="89" t="s">
        <v>22</v>
      </c>
      <c r="B14" s="89" t="s">
        <v>77</v>
      </c>
      <c r="C14" s="89" t="s">
        <v>24</v>
      </c>
      <c r="D14" s="89" t="s">
        <v>24</v>
      </c>
      <c r="E14" s="89" t="s">
        <v>25</v>
      </c>
      <c r="F14" s="89" t="s">
        <v>25</v>
      </c>
      <c r="G14" s="12" t="s">
        <v>64</v>
      </c>
      <c r="H14" s="12" t="s">
        <v>63</v>
      </c>
      <c r="I14" s="12">
        <f>SUMIF(Mercado_Receita!$S$2:$S$170,"44440B1BrancaResidencialResidencialNão se aplicaNão se aplicaPonta",Mercado_Receita!$L$2:$L$170)</f>
        <v>0</v>
      </c>
      <c r="J14" s="12">
        <f>SUMIF(Mercado_Receita!$S$2:$S$170,"44470B1BrancaResidencialResidencialNão se aplicaNão se aplicaPonta",Mercado_Receita!$L$2:$L$170)</f>
        <v>0</v>
      </c>
      <c r="K14" s="12">
        <f>SUMIF(Mercado_Receita!$S$2:$S$170,"44501B1BrancaResidencialResidencialNão se aplicaNão se aplicaPonta",Mercado_Receita!$L$2:$L$170)</f>
        <v>0</v>
      </c>
      <c r="L14" s="12">
        <f>SUMIF(Mercado_Receita!$S$2:$S$170,"44531B1BrancaResidencialResidencialNão se aplicaNão se aplicaPonta",Mercado_Receita!$L$2:$L$170)</f>
        <v>0</v>
      </c>
      <c r="M14" s="12">
        <f>SUMIF(Mercado_Receita!$S$2:$S$170,"44562B1BrancaResidencialResidencialNão se aplicaNão se aplicaPonta",Mercado_Receita!$L$2:$L$170)</f>
        <v>0</v>
      </c>
      <c r="N14" s="12">
        <f>SUMIF(Mercado_Receita!$S$2:$S$170,"44593B1BrancaResidencialResidencialNão se aplicaNão se aplicaPonta",Mercado_Receita!$L$2:$L$170)</f>
        <v>0</v>
      </c>
      <c r="O14" s="12">
        <f>SUMIF(Mercado_Receita!$S$2:$S$170,"44621B1BrancaResidencialResidencialNão se aplicaNão se aplicaPonta",Mercado_Receita!$L$2:$L$170)</f>
        <v>0</v>
      </c>
      <c r="P14" s="12">
        <f>SUMIF(Mercado_Receita!$S$2:$S$170,"44652B1BrancaResidencialResidencialNão se aplicaNão se aplicaPonta",Mercado_Receita!$L$2:$L$170)</f>
        <v>0</v>
      </c>
      <c r="Q14" s="12">
        <f>SUMIF(Mercado_Receita!$S$2:$S$170,"44682B1BrancaResidencialResidencialNão se aplicaNão se aplicaPonta",Mercado_Receita!$L$2:$L$170)</f>
        <v>0</v>
      </c>
      <c r="R14" s="12">
        <f>SUMIF(Mercado_Receita!$S$2:$S$170,"44713B1BrancaResidencialResidencialNão se aplicaNão se aplicaPonta",Mercado_Receita!$L$2:$L$170)</f>
        <v>0</v>
      </c>
      <c r="S14" s="12">
        <f>SUMIF(Mercado_Receita!$S$2:$S$170,"44743B1BrancaResidencialResidencialNão se aplicaNão se aplicaPonta",Mercado_Receita!$L$2:$L$170)</f>
        <v>0</v>
      </c>
      <c r="T14" s="12">
        <f>SUMIF(Mercado_Receita!$S$2:$S$170,"44774B1BrancaResidencialResidencialNão se aplicaNão se aplicaPonta",Mercado_Receita!$L$2:$L$170)</f>
        <v>0</v>
      </c>
      <c r="U14" s="12">
        <f t="shared" si="0"/>
        <v>0</v>
      </c>
      <c r="V14" s="12"/>
      <c r="W14" s="12"/>
    </row>
    <row r="15" spans="1:30" ht="11.25" customHeight="1" x14ac:dyDescent="0.25">
      <c r="A15" s="90"/>
      <c r="B15" s="90"/>
      <c r="C15" s="90"/>
      <c r="D15" s="90"/>
      <c r="E15" s="90"/>
      <c r="F15" s="90"/>
      <c r="G15" s="12" t="s">
        <v>75</v>
      </c>
      <c r="H15" s="12" t="s">
        <v>63</v>
      </c>
      <c r="I15" s="12">
        <f>SUMIF(Mercado_Receita!$S$2:$S$170,"44440B1BrancaResidencialResidencialNão se aplicaNão se aplicaIntermediário",Mercado_Receita!$L$2:$L$170)</f>
        <v>0</v>
      </c>
      <c r="J15" s="12">
        <f>SUMIF(Mercado_Receita!$S$2:$S$170,"44470B1BrancaResidencialResidencialNão se aplicaNão se aplicaIntermediário",Mercado_Receita!$L$2:$L$170)</f>
        <v>0</v>
      </c>
      <c r="K15" s="12">
        <f>SUMIF(Mercado_Receita!$S$2:$S$170,"44501B1BrancaResidencialResidencialNão se aplicaNão se aplicaIntermediário",Mercado_Receita!$L$2:$L$170)</f>
        <v>0</v>
      </c>
      <c r="L15" s="12">
        <f>SUMIF(Mercado_Receita!$S$2:$S$170,"44531B1BrancaResidencialResidencialNão se aplicaNão se aplicaIntermediário",Mercado_Receita!$L$2:$L$170)</f>
        <v>0</v>
      </c>
      <c r="M15" s="12">
        <f>SUMIF(Mercado_Receita!$S$2:$S$170,"44562B1BrancaResidencialResidencialNão se aplicaNão se aplicaIntermediário",Mercado_Receita!$L$2:$L$170)</f>
        <v>0</v>
      </c>
      <c r="N15" s="12">
        <f>SUMIF(Mercado_Receita!$S$2:$S$170,"44593B1BrancaResidencialResidencialNão se aplicaNão se aplicaIntermediário",Mercado_Receita!$L$2:$L$170)</f>
        <v>0</v>
      </c>
      <c r="O15" s="12">
        <f>SUMIF(Mercado_Receita!$S$2:$S$170,"44621B1BrancaResidencialResidencialNão se aplicaNão se aplicaIntermediário",Mercado_Receita!$L$2:$L$170)</f>
        <v>0</v>
      </c>
      <c r="P15" s="12">
        <f>SUMIF(Mercado_Receita!$S$2:$S$170,"44652B1BrancaResidencialResidencialNão se aplicaNão se aplicaIntermediário",Mercado_Receita!$L$2:$L$170)</f>
        <v>0</v>
      </c>
      <c r="Q15" s="12">
        <f>SUMIF(Mercado_Receita!$S$2:$S$170,"44682B1BrancaResidencialResidencialNão se aplicaNão se aplicaIntermediário",Mercado_Receita!$L$2:$L$170)</f>
        <v>0</v>
      </c>
      <c r="R15" s="12">
        <f>SUMIF(Mercado_Receita!$S$2:$S$170,"44713B1BrancaResidencialResidencialNão se aplicaNão se aplicaIntermediário",Mercado_Receita!$L$2:$L$170)</f>
        <v>0</v>
      </c>
      <c r="S15" s="12">
        <f>SUMIF(Mercado_Receita!$S$2:$S$170,"44743B1BrancaResidencialResidencialNão se aplicaNão se aplicaIntermediário",Mercado_Receita!$L$2:$L$170)</f>
        <v>0</v>
      </c>
      <c r="T15" s="12">
        <f>SUMIF(Mercado_Receita!$S$2:$S$170,"44774B1BrancaResidencialResidencialNão se aplicaNão se aplicaIntermediário",Mercado_Receita!$L$2:$L$170)</f>
        <v>0</v>
      </c>
      <c r="U15" s="12">
        <f t="shared" si="0"/>
        <v>0</v>
      </c>
      <c r="V15" s="12"/>
      <c r="W15" s="12"/>
    </row>
    <row r="16" spans="1:30" ht="11.25" customHeight="1" x14ac:dyDescent="0.25">
      <c r="A16" s="90"/>
      <c r="B16" s="90"/>
      <c r="C16" s="90"/>
      <c r="D16" s="90"/>
      <c r="E16" s="90"/>
      <c r="F16" s="90"/>
      <c r="G16" s="12" t="s">
        <v>65</v>
      </c>
      <c r="H16" s="12" t="s">
        <v>63</v>
      </c>
      <c r="I16" s="12">
        <f>SUMIF(Mercado_Receita!$S$2:$S$170,"44440B1BrancaResidencialResidencialNão se aplicaNão se aplicaFora ponta",Mercado_Receita!$L$2:$L$170)</f>
        <v>0</v>
      </c>
      <c r="J16" s="12">
        <f>SUMIF(Mercado_Receita!$S$2:$S$170,"44470B1BrancaResidencialResidencialNão se aplicaNão se aplicaFora ponta",Mercado_Receita!$L$2:$L$170)</f>
        <v>0</v>
      </c>
      <c r="K16" s="12">
        <f>SUMIF(Mercado_Receita!$S$2:$S$170,"44501B1BrancaResidencialResidencialNão se aplicaNão se aplicaFora ponta",Mercado_Receita!$L$2:$L$170)</f>
        <v>0</v>
      </c>
      <c r="L16" s="12">
        <f>SUMIF(Mercado_Receita!$S$2:$S$170,"44531B1BrancaResidencialResidencialNão se aplicaNão se aplicaFora ponta",Mercado_Receita!$L$2:$L$170)</f>
        <v>0</v>
      </c>
      <c r="M16" s="12">
        <f>SUMIF(Mercado_Receita!$S$2:$S$170,"44562B1BrancaResidencialResidencialNão se aplicaNão se aplicaFora ponta",Mercado_Receita!$L$2:$L$170)</f>
        <v>0</v>
      </c>
      <c r="N16" s="12">
        <f>SUMIF(Mercado_Receita!$S$2:$S$170,"44593B1BrancaResidencialResidencialNão se aplicaNão se aplicaFora ponta",Mercado_Receita!$L$2:$L$170)</f>
        <v>0</v>
      </c>
      <c r="O16" s="12">
        <f>SUMIF(Mercado_Receita!$S$2:$S$170,"44621B1BrancaResidencialResidencialNão se aplicaNão se aplicaFora ponta",Mercado_Receita!$L$2:$L$170)</f>
        <v>0</v>
      </c>
      <c r="P16" s="12">
        <f>SUMIF(Mercado_Receita!$S$2:$S$170,"44652B1BrancaResidencialResidencialNão se aplicaNão se aplicaFora ponta",Mercado_Receita!$L$2:$L$170)</f>
        <v>0</v>
      </c>
      <c r="Q16" s="12">
        <f>SUMIF(Mercado_Receita!$S$2:$S$170,"44682B1BrancaResidencialResidencialNão se aplicaNão se aplicaFora ponta",Mercado_Receita!$L$2:$L$170)</f>
        <v>0</v>
      </c>
      <c r="R16" s="12">
        <f>SUMIF(Mercado_Receita!$S$2:$S$170,"44713B1BrancaResidencialResidencialNão se aplicaNão se aplicaFora ponta",Mercado_Receita!$L$2:$L$170)</f>
        <v>0</v>
      </c>
      <c r="S16" s="12">
        <f>SUMIF(Mercado_Receita!$S$2:$S$170,"44743B1BrancaResidencialResidencialNão se aplicaNão se aplicaFora ponta",Mercado_Receita!$L$2:$L$170)</f>
        <v>0</v>
      </c>
      <c r="T16" s="12">
        <f>SUMIF(Mercado_Receita!$S$2:$S$170,"44774B1BrancaResidencialResidencialNão se aplicaNão se aplicaFora ponta",Mercado_Receita!$L$2:$L$170)</f>
        <v>0</v>
      </c>
      <c r="U16" s="12">
        <f t="shared" si="0"/>
        <v>0</v>
      </c>
      <c r="V16" s="12"/>
      <c r="W16" s="12"/>
    </row>
    <row r="17" spans="1:23" ht="11.25" customHeight="1" x14ac:dyDescent="0.25">
      <c r="A17" s="90"/>
      <c r="B17" s="89" t="s">
        <v>23</v>
      </c>
      <c r="C17" s="89" t="s">
        <v>24</v>
      </c>
      <c r="D17" s="13" t="s">
        <v>24</v>
      </c>
      <c r="E17" s="13" t="s">
        <v>25</v>
      </c>
      <c r="F17" s="13" t="s">
        <v>25</v>
      </c>
      <c r="G17" s="12" t="s">
        <v>69</v>
      </c>
      <c r="H17" s="12" t="s">
        <v>63</v>
      </c>
      <c r="I17" s="12">
        <f>SUMIF(Mercado_Receita!$S$2:$S$170,"44440B1ConvencionalResidencialResidencialNão se aplicaNão se aplicaPonta",Mercado_Receita!$L$2:$L$170)+SUMIF(Mercado_Receita!$S$2:$S$170,"44440B1ConvencionalResidencialResidencialNão se aplicaNão se aplicaFora ponta",Mercado_Receita!$L$2:$L$170)+SUMIF(Mercado_Receita!$S$2:$S$170,"44440B1ConvencionalResidencialResidencialNão se aplicaNão se aplicaIntermediário",Mercado_Receita!$L$2:$L$170)+SUMIF(Mercado_Receita!$S$2:$S$170,"44440B1ConvencionalResidencialResidencialNão se aplicaNão se aplicaNão se aplica",Mercado_Receita!$L$2:$L$170)</f>
        <v>237.81800000000001</v>
      </c>
      <c r="J17" s="12">
        <f>SUMIF(Mercado_Receita!$S$2:$S$170,"44470B1ConvencionalResidencialResidencialNão se aplicaNão se aplicaPonta",Mercado_Receita!$L$2:$L$170)+SUMIF(Mercado_Receita!$S$2:$S$170,"44470B1ConvencionalResidencialResidencialNão se aplicaNão se aplicaFora ponta",Mercado_Receita!$L$2:$L$170)+SUMIF(Mercado_Receita!$S$2:$S$170,"44470B1ConvencionalResidencialResidencialNão se aplicaNão se aplicaIntermediário",Mercado_Receita!$L$2:$L$170)+SUMIF(Mercado_Receita!$S$2:$S$170,"44470B1ConvencionalResidencialResidencialNão se aplicaNão se aplicaNão se aplica",Mercado_Receita!$L$2:$L$170)</f>
        <v>237.14400000000001</v>
      </c>
      <c r="K17" s="12">
        <f>SUMIF(Mercado_Receita!$S$2:$S$170,"44501B1ConvencionalResidencialResidencialNão se aplicaNão se aplicaPonta",Mercado_Receita!$L$2:$L$170)+SUMIF(Mercado_Receita!$S$2:$S$170,"44501B1ConvencionalResidencialResidencialNão se aplicaNão se aplicaFora ponta",Mercado_Receita!$L$2:$L$170)+SUMIF(Mercado_Receita!$S$2:$S$170,"44501B1ConvencionalResidencialResidencialNão se aplicaNão se aplicaIntermediário",Mercado_Receita!$L$2:$L$170)+SUMIF(Mercado_Receita!$S$2:$S$170,"44501B1ConvencionalResidencialResidencialNão se aplicaNão se aplicaNão se aplica",Mercado_Receita!$L$2:$L$170)</f>
        <v>237.858</v>
      </c>
      <c r="L17" s="12">
        <f>SUMIF(Mercado_Receita!$S$2:$S$170,"44531B1ConvencionalResidencialResidencialNão se aplicaNão se aplicaPonta",Mercado_Receita!$L$2:$L$170)+SUMIF(Mercado_Receita!$S$2:$S$170,"44531B1ConvencionalResidencialResidencialNão se aplicaNão se aplicaFora ponta",Mercado_Receita!$L$2:$L$170)+SUMIF(Mercado_Receita!$S$2:$S$170,"44531B1ConvencionalResidencialResidencialNão se aplicaNão se aplicaIntermediário",Mercado_Receita!$L$2:$L$170)+SUMIF(Mercado_Receita!$S$2:$S$170,"44531B1ConvencionalResidencialResidencialNão se aplicaNão se aplicaNão se aplica",Mercado_Receita!$L$2:$L$170)</f>
        <v>240.846</v>
      </c>
      <c r="M17" s="12">
        <f>SUMIF(Mercado_Receita!$S$2:$S$170,"44562B1ConvencionalResidencialResidencialNão se aplicaNão se aplicaPonta",Mercado_Receita!$L$2:$L$170)+SUMIF(Mercado_Receita!$S$2:$S$170,"44562B1ConvencionalResidencialResidencialNão se aplicaNão se aplicaFora ponta",Mercado_Receita!$L$2:$L$170)+SUMIF(Mercado_Receita!$S$2:$S$170,"44562B1ConvencionalResidencialResidencialNão se aplicaNão se aplicaIntermediário",Mercado_Receita!$L$2:$L$170)+SUMIF(Mercado_Receita!$S$2:$S$170,"44562B1ConvencionalResidencialResidencialNão se aplicaNão se aplicaNão se aplica",Mercado_Receita!$L$2:$L$170)</f>
        <v>274.649</v>
      </c>
      <c r="N17" s="12">
        <f>SUMIF(Mercado_Receita!$S$2:$S$170,"44593B1ConvencionalResidencialResidencialNão se aplicaNão se aplicaPonta",Mercado_Receita!$L$2:$L$170)+SUMIF(Mercado_Receita!$S$2:$S$170,"44593B1ConvencionalResidencialResidencialNão se aplicaNão se aplicaFora ponta",Mercado_Receita!$L$2:$L$170)+SUMIF(Mercado_Receita!$S$2:$S$170,"44593B1ConvencionalResidencialResidencialNão se aplicaNão se aplicaIntermediário",Mercado_Receita!$L$2:$L$170)+SUMIF(Mercado_Receita!$S$2:$S$170,"44593B1ConvencionalResidencialResidencialNão se aplicaNão se aplicaNão se aplica",Mercado_Receita!$L$2:$L$170)</f>
        <v>277.30799999999999</v>
      </c>
      <c r="O17" s="12">
        <f>SUMIF(Mercado_Receita!$S$2:$S$170,"44621B1ConvencionalResidencialResidencialNão se aplicaNão se aplicaPonta",Mercado_Receita!$L$2:$L$170)+SUMIF(Mercado_Receita!$S$2:$S$170,"44621B1ConvencionalResidencialResidencialNão se aplicaNão se aplicaFora ponta",Mercado_Receita!$L$2:$L$170)+SUMIF(Mercado_Receita!$S$2:$S$170,"44621B1ConvencionalResidencialResidencialNão se aplicaNão se aplicaIntermediário",Mercado_Receita!$L$2:$L$170)+SUMIF(Mercado_Receita!$S$2:$S$170,"44621B1ConvencionalResidencialResidencialNão se aplicaNão se aplicaNão se aplica",Mercado_Receita!$L$2:$L$170)</f>
        <v>252.50700000000001</v>
      </c>
      <c r="P17" s="12">
        <f>SUMIF(Mercado_Receita!$S$2:$S$170,"44652B1ConvencionalResidencialResidencialNão se aplicaNão se aplicaPonta",Mercado_Receita!$L$2:$L$170)+SUMIF(Mercado_Receita!$S$2:$S$170,"44652B1ConvencionalResidencialResidencialNão se aplicaNão se aplicaFora ponta",Mercado_Receita!$L$2:$L$170)+SUMIF(Mercado_Receita!$S$2:$S$170,"44652B1ConvencionalResidencialResidencialNão se aplicaNão se aplicaIntermediário",Mercado_Receita!$L$2:$L$170)+SUMIF(Mercado_Receita!$S$2:$S$170,"44652B1ConvencionalResidencialResidencialNão se aplicaNão se aplicaNão se aplica",Mercado_Receita!$L$2:$L$170)</f>
        <v>259.29199999999997</v>
      </c>
      <c r="Q17" s="12">
        <f>SUMIF(Mercado_Receita!$S$2:$S$170,"44682B1ConvencionalResidencialResidencialNão se aplicaNão se aplicaPonta",Mercado_Receita!$L$2:$L$170)+SUMIF(Mercado_Receita!$S$2:$S$170,"44682B1ConvencionalResidencialResidencialNão se aplicaNão se aplicaFora ponta",Mercado_Receita!$L$2:$L$170)+SUMIF(Mercado_Receita!$S$2:$S$170,"44682B1ConvencionalResidencialResidencialNão se aplicaNão se aplicaIntermediário",Mercado_Receita!$L$2:$L$170)+SUMIF(Mercado_Receita!$S$2:$S$170,"44682B1ConvencionalResidencialResidencialNão se aplicaNão se aplicaNão se aplica",Mercado_Receita!$L$2:$L$170)</f>
        <v>229.471</v>
      </c>
      <c r="R17" s="12">
        <f>SUMIF(Mercado_Receita!$S$2:$S$170,"44713B1ConvencionalResidencialResidencialNão se aplicaNão se aplicaPonta",Mercado_Receita!$L$2:$L$170)+SUMIF(Mercado_Receita!$S$2:$S$170,"44713B1ConvencionalResidencialResidencialNão se aplicaNão se aplicaFora ponta",Mercado_Receita!$L$2:$L$170)+SUMIF(Mercado_Receita!$S$2:$S$170,"44713B1ConvencionalResidencialResidencialNão se aplicaNão se aplicaIntermediário",Mercado_Receita!$L$2:$L$170)+SUMIF(Mercado_Receita!$S$2:$S$170,"44713B1ConvencionalResidencialResidencialNão se aplicaNão se aplicaNão se aplica",Mercado_Receita!$L$2:$L$170)</f>
        <v>237.602</v>
      </c>
      <c r="S17" s="12">
        <f>SUMIF(Mercado_Receita!$S$2:$S$170,"44743B1ConvencionalResidencialResidencialNão se aplicaNão se aplicaPonta",Mercado_Receita!$L$2:$L$170)+SUMIF(Mercado_Receita!$S$2:$S$170,"44743B1ConvencionalResidencialResidencialNão se aplicaNão se aplicaFora ponta",Mercado_Receita!$L$2:$L$170)+SUMIF(Mercado_Receita!$S$2:$S$170,"44743B1ConvencionalResidencialResidencialNão se aplicaNão se aplicaIntermediário",Mercado_Receita!$L$2:$L$170)+SUMIF(Mercado_Receita!$S$2:$S$170,"44743B1ConvencionalResidencialResidencialNão se aplicaNão se aplicaNão se aplica",Mercado_Receita!$L$2:$L$170)</f>
        <v>238.339</v>
      </c>
      <c r="T17" s="12">
        <f>SUMIF(Mercado_Receita!$S$2:$S$170,"44774B1ConvencionalResidencialResidencialNão se aplicaNão se aplicaPonta",Mercado_Receita!$L$2:$L$170)+SUMIF(Mercado_Receita!$S$2:$S$170,"44774B1ConvencionalResidencialResidencialNão se aplicaNão se aplicaFora ponta",Mercado_Receita!$L$2:$L$170)+SUMIF(Mercado_Receita!$S$2:$S$170,"44774B1ConvencionalResidencialResidencialNão se aplicaNão se aplicaIntermediário",Mercado_Receita!$L$2:$L$170)+SUMIF(Mercado_Receita!$S$2:$S$170,"44774B1ConvencionalResidencialResidencialNão se aplicaNão se aplicaNão se aplica",Mercado_Receita!$L$2:$L$170)</f>
        <v>245.88</v>
      </c>
      <c r="U17" s="12">
        <f t="shared" si="0"/>
        <v>2968.7139999999999</v>
      </c>
      <c r="V17" s="12"/>
      <c r="W17" s="12"/>
    </row>
    <row r="18" spans="1:23" ht="11.25" customHeight="1" x14ac:dyDescent="0.25">
      <c r="A18" s="90"/>
      <c r="B18" s="90"/>
      <c r="C18" s="90"/>
      <c r="D18" s="13" t="s">
        <v>27</v>
      </c>
      <c r="E18" s="13" t="s">
        <v>25</v>
      </c>
      <c r="F18" s="13" t="s">
        <v>25</v>
      </c>
      <c r="G18" s="12" t="s">
        <v>69</v>
      </c>
      <c r="H18" s="12" t="s">
        <v>63</v>
      </c>
      <c r="I18" s="12">
        <f>SUMIF(Mercado_Receita!$S$2:$S$170,"44440B1ConvencionalResidencialResidencial baixa renda – faixa 01Não se aplicaNão se aplicaPonta",Mercado_Receita!$L$2:$L$170)+SUMIF(Mercado_Receita!$S$2:$S$170,"44440B1ConvencionalResidencialResidencial baixa renda – faixa 01Não se aplicaNão se aplicaFora ponta",Mercado_Receita!$L$2:$L$170)+SUMIF(Mercado_Receita!$S$2:$S$170,"44440B1ConvencionalResidencialResidencial baixa renda – faixa 01Não se aplicaNão se aplicaIntermediário",Mercado_Receita!$L$2:$L$170)+SUMIF(Mercado_Receita!$S$2:$S$170,"44440B1ConvencionalResidencialResidencial baixa renda – faixa 01Não se aplicaNão se aplicaNão se aplica",Mercado_Receita!$L$2:$L$170)</f>
        <v>0.06</v>
      </c>
      <c r="J18" s="12">
        <f>SUMIF(Mercado_Receita!$S$2:$S$170,"44470B1ConvencionalResidencialResidencial baixa renda – faixa 01Não se aplicaNão se aplicaPonta",Mercado_Receita!$L$2:$L$170)+SUMIF(Mercado_Receita!$S$2:$S$170,"44470B1ConvencionalResidencialResidencial baixa renda – faixa 01Não se aplicaNão se aplicaFora ponta",Mercado_Receita!$L$2:$L$170)+SUMIF(Mercado_Receita!$S$2:$S$170,"44470B1ConvencionalResidencialResidencial baixa renda – faixa 01Não se aplicaNão se aplicaIntermediário",Mercado_Receita!$L$2:$L$170)+SUMIF(Mercado_Receita!$S$2:$S$170,"44470B1ConvencionalResidencialResidencial baixa renda – faixa 01Não se aplicaNão se aplicaNão se aplica",Mercado_Receita!$L$2:$L$170)</f>
        <v>0.189</v>
      </c>
      <c r="K18" s="12">
        <f>SUMIF(Mercado_Receita!$S$2:$S$170,"44501B1ConvencionalResidencialResidencial baixa renda – faixa 01Não se aplicaNão se aplicaPonta",Mercado_Receita!$L$2:$L$170)+SUMIF(Mercado_Receita!$S$2:$S$170,"44501B1ConvencionalResidencialResidencial baixa renda – faixa 01Não se aplicaNão se aplicaFora ponta",Mercado_Receita!$L$2:$L$170)+SUMIF(Mercado_Receita!$S$2:$S$170,"44501B1ConvencionalResidencialResidencial baixa renda – faixa 01Não se aplicaNão se aplicaIntermediário",Mercado_Receita!$L$2:$L$170)+SUMIF(Mercado_Receita!$S$2:$S$170,"44501B1ConvencionalResidencialResidencial baixa renda – faixa 01Não se aplicaNão se aplicaNão se aplica",Mercado_Receita!$L$2:$L$170)</f>
        <v>0.19400000000000001</v>
      </c>
      <c r="L18" s="12">
        <f>SUMIF(Mercado_Receita!$S$2:$S$170,"44531B1ConvencionalResidencialResidencial baixa renda – faixa 01Não se aplicaNão se aplicaPonta",Mercado_Receita!$L$2:$L$170)+SUMIF(Mercado_Receita!$S$2:$S$170,"44531B1ConvencionalResidencialResidencial baixa renda – faixa 01Não se aplicaNão se aplicaFora ponta",Mercado_Receita!$L$2:$L$170)+SUMIF(Mercado_Receita!$S$2:$S$170,"44531B1ConvencionalResidencialResidencial baixa renda – faixa 01Não se aplicaNão se aplicaIntermediário",Mercado_Receita!$L$2:$L$170)+SUMIF(Mercado_Receita!$S$2:$S$170,"44531B1ConvencionalResidencialResidencial baixa renda – faixa 01Não se aplicaNão se aplicaNão se aplica",Mercado_Receita!$L$2:$L$170)</f>
        <v>0.19400000000000001</v>
      </c>
      <c r="M18" s="12">
        <f>SUMIF(Mercado_Receita!$S$2:$S$170,"44562B1ConvencionalResidencialResidencial baixa renda – faixa 01Não se aplicaNão se aplicaPonta",Mercado_Receita!$L$2:$L$170)+SUMIF(Mercado_Receita!$S$2:$S$170,"44562B1ConvencionalResidencialResidencial baixa renda – faixa 01Não se aplicaNão se aplicaFora ponta",Mercado_Receita!$L$2:$L$170)+SUMIF(Mercado_Receita!$S$2:$S$170,"44562B1ConvencionalResidencialResidencial baixa renda – faixa 01Não se aplicaNão se aplicaIntermediário",Mercado_Receita!$L$2:$L$170)+SUMIF(Mercado_Receita!$S$2:$S$170,"44562B1ConvencionalResidencialResidencial baixa renda – faixa 01Não se aplicaNão se aplicaNão se aplica",Mercado_Receita!$L$2:$L$170)</f>
        <v>0.19600000000000001</v>
      </c>
      <c r="N18" s="12">
        <f>SUMIF(Mercado_Receita!$S$2:$S$170,"44593B1ConvencionalResidencialResidencial baixa renda – faixa 01Não se aplicaNão se aplicaPonta",Mercado_Receita!$L$2:$L$170)+SUMIF(Mercado_Receita!$S$2:$S$170,"44593B1ConvencionalResidencialResidencial baixa renda – faixa 01Não se aplicaNão se aplicaFora ponta",Mercado_Receita!$L$2:$L$170)+SUMIF(Mercado_Receita!$S$2:$S$170,"44593B1ConvencionalResidencialResidencial baixa renda – faixa 01Não se aplicaNão se aplicaIntermediário",Mercado_Receita!$L$2:$L$170)+SUMIF(Mercado_Receita!$S$2:$S$170,"44593B1ConvencionalResidencialResidencial baixa renda – faixa 01Não se aplicaNão se aplicaNão se aplica",Mercado_Receita!$L$2:$L$170)</f>
        <v>0.33700000000000002</v>
      </c>
      <c r="O18" s="12">
        <f>SUMIF(Mercado_Receita!$S$2:$S$170,"44621B1ConvencionalResidencialResidencial baixa renda – faixa 01Não se aplicaNão se aplicaPonta",Mercado_Receita!$L$2:$L$170)+SUMIF(Mercado_Receita!$S$2:$S$170,"44621B1ConvencionalResidencialResidencial baixa renda – faixa 01Não se aplicaNão se aplicaFora ponta",Mercado_Receita!$L$2:$L$170)+SUMIF(Mercado_Receita!$S$2:$S$170,"44621B1ConvencionalResidencialResidencial baixa renda – faixa 01Não se aplicaNão se aplicaIntermediário",Mercado_Receita!$L$2:$L$170)+SUMIF(Mercado_Receita!$S$2:$S$170,"44621B1ConvencionalResidencialResidencial baixa renda – faixa 01Não se aplicaNão se aplicaNão se aplica",Mercado_Receita!$L$2:$L$170)</f>
        <v>0.33</v>
      </c>
      <c r="P18" s="12">
        <f>SUMIF(Mercado_Receita!$S$2:$S$170,"44652B1ConvencionalResidencialResidencial baixa renda – faixa 01Não se aplicaNão se aplicaPonta",Mercado_Receita!$L$2:$L$170)+SUMIF(Mercado_Receita!$S$2:$S$170,"44652B1ConvencionalResidencialResidencial baixa renda – faixa 01Não se aplicaNão se aplicaFora ponta",Mercado_Receita!$L$2:$L$170)+SUMIF(Mercado_Receita!$S$2:$S$170,"44652B1ConvencionalResidencialResidencial baixa renda – faixa 01Não se aplicaNão se aplicaIntermediário",Mercado_Receita!$L$2:$L$170)+SUMIF(Mercado_Receita!$S$2:$S$170,"44652B1ConvencionalResidencialResidencial baixa renda – faixa 01Não se aplicaNão se aplicaNão se aplica",Mercado_Receita!$L$2:$L$170)</f>
        <v>0.33</v>
      </c>
      <c r="Q18" s="12">
        <f>SUMIF(Mercado_Receita!$S$2:$S$170,"44682B1ConvencionalResidencialResidencial baixa renda – faixa 01Não se aplicaNão se aplicaPonta",Mercado_Receita!$L$2:$L$170)+SUMIF(Mercado_Receita!$S$2:$S$170,"44682B1ConvencionalResidencialResidencial baixa renda – faixa 01Não se aplicaNão se aplicaFora ponta",Mercado_Receita!$L$2:$L$170)+SUMIF(Mercado_Receita!$S$2:$S$170,"44682B1ConvencionalResidencialResidencial baixa renda – faixa 01Não se aplicaNão se aplicaIntermediário",Mercado_Receita!$L$2:$L$170)+SUMIF(Mercado_Receita!$S$2:$S$170,"44682B1ConvencionalResidencialResidencial baixa renda – faixa 01Não se aplicaNão se aplicaNão se aplica",Mercado_Receita!$L$2:$L$170)</f>
        <v>0.33</v>
      </c>
      <c r="R18" s="12">
        <f>SUMIF(Mercado_Receita!$S$2:$S$170,"44713B1ConvencionalResidencialResidencial baixa renda – faixa 01Não se aplicaNão se aplicaPonta",Mercado_Receita!$L$2:$L$170)+SUMIF(Mercado_Receita!$S$2:$S$170,"44713B1ConvencionalResidencialResidencial baixa renda – faixa 01Não se aplicaNão se aplicaFora ponta",Mercado_Receita!$L$2:$L$170)+SUMIF(Mercado_Receita!$S$2:$S$170,"44713B1ConvencionalResidencialResidencial baixa renda – faixa 01Não se aplicaNão se aplicaIntermediário",Mercado_Receita!$L$2:$L$170)+SUMIF(Mercado_Receita!$S$2:$S$170,"44713B1ConvencionalResidencialResidencial baixa renda – faixa 01Não se aplicaNão se aplicaNão se aplica",Mercado_Receita!$L$2:$L$170)</f>
        <v>0.33</v>
      </c>
      <c r="S18" s="12">
        <f>SUMIF(Mercado_Receita!$S$2:$S$170,"44743B1ConvencionalResidencialResidencial baixa renda – faixa 01Não se aplicaNão se aplicaPonta",Mercado_Receita!$L$2:$L$170)+SUMIF(Mercado_Receita!$S$2:$S$170,"44743B1ConvencionalResidencialResidencial baixa renda – faixa 01Não se aplicaNão se aplicaFora ponta",Mercado_Receita!$L$2:$L$170)+SUMIF(Mercado_Receita!$S$2:$S$170,"44743B1ConvencionalResidencialResidencial baixa renda – faixa 01Não se aplicaNão se aplicaIntermediário",Mercado_Receita!$L$2:$L$170)+SUMIF(Mercado_Receita!$S$2:$S$170,"44743B1ConvencionalResidencialResidencial baixa renda – faixa 01Não se aplicaNão se aplicaNão se aplica",Mercado_Receita!$L$2:$L$170)</f>
        <v>0.33</v>
      </c>
      <c r="T18" s="12">
        <f>SUMIF(Mercado_Receita!$S$2:$S$170,"44774B1ConvencionalResidencialResidencial baixa renda – faixa 01Não se aplicaNão se aplicaPonta",Mercado_Receita!$L$2:$L$170)+SUMIF(Mercado_Receita!$S$2:$S$170,"44774B1ConvencionalResidencialResidencial baixa renda – faixa 01Não se aplicaNão se aplicaFora ponta",Mercado_Receita!$L$2:$L$170)+SUMIF(Mercado_Receita!$S$2:$S$170,"44774B1ConvencionalResidencialResidencial baixa renda – faixa 01Não se aplicaNão se aplicaIntermediário",Mercado_Receita!$L$2:$L$170)+SUMIF(Mercado_Receita!$S$2:$S$170,"44774B1ConvencionalResidencialResidencial baixa renda – faixa 01Não se aplicaNão se aplicaNão se aplica",Mercado_Receita!$L$2:$L$170)</f>
        <v>0.185</v>
      </c>
      <c r="U18" s="12">
        <f t="shared" si="0"/>
        <v>3.0050000000000003</v>
      </c>
      <c r="V18" s="12"/>
      <c r="W18" s="12"/>
    </row>
    <row r="19" spans="1:23" ht="11.25" customHeight="1" x14ac:dyDescent="0.25">
      <c r="A19" s="90"/>
      <c r="B19" s="90"/>
      <c r="C19" s="90"/>
      <c r="D19" s="13" t="s">
        <v>28</v>
      </c>
      <c r="E19" s="13" t="s">
        <v>25</v>
      </c>
      <c r="F19" s="13" t="s">
        <v>25</v>
      </c>
      <c r="G19" s="12" t="s">
        <v>69</v>
      </c>
      <c r="H19" s="12" t="s">
        <v>63</v>
      </c>
      <c r="I19" s="12">
        <f>SUMIF(Mercado_Receita!$S$2:$S$170,"44440B1ConvencionalResidencialResidencial baixa renda – faixa 02Não se aplicaNão se aplicaPonta",Mercado_Receita!$L$2:$L$170)+SUMIF(Mercado_Receita!$S$2:$S$170,"44440B1ConvencionalResidencialResidencial baixa renda – faixa 02Não se aplicaNão se aplicaFora ponta",Mercado_Receita!$L$2:$L$170)+SUMIF(Mercado_Receita!$S$2:$S$170,"44440B1ConvencionalResidencialResidencial baixa renda – faixa 02Não se aplicaNão se aplicaIntermediário",Mercado_Receita!$L$2:$L$170)+SUMIF(Mercado_Receita!$S$2:$S$170,"44440B1ConvencionalResidencialResidencial baixa renda – faixa 02Não se aplicaNão se aplicaNão se aplica",Mercado_Receita!$L$2:$L$170)</f>
        <v>8.5999999999999993E-2</v>
      </c>
      <c r="J19" s="12">
        <f>SUMIF(Mercado_Receita!$S$2:$S$170,"44470B1ConvencionalResidencialResidencial baixa renda – faixa 02Não se aplicaNão se aplicaPonta",Mercado_Receita!$L$2:$L$170)+SUMIF(Mercado_Receita!$S$2:$S$170,"44470B1ConvencionalResidencialResidencial baixa renda – faixa 02Não se aplicaNão se aplicaFora ponta",Mercado_Receita!$L$2:$L$170)+SUMIF(Mercado_Receita!$S$2:$S$170,"44470B1ConvencionalResidencialResidencial baixa renda – faixa 02Não se aplicaNão se aplicaIntermediário",Mercado_Receita!$L$2:$L$170)+SUMIF(Mercado_Receita!$S$2:$S$170,"44470B1ConvencionalResidencialResidencial baixa renda – faixa 02Não se aplicaNão se aplicaNão se aplica",Mercado_Receita!$L$2:$L$170)</f>
        <v>0.44600000000000001</v>
      </c>
      <c r="K19" s="12">
        <f>SUMIF(Mercado_Receita!$S$2:$S$170,"44501B1ConvencionalResidencialResidencial baixa renda – faixa 02Não se aplicaNão se aplicaPonta",Mercado_Receita!$L$2:$L$170)+SUMIF(Mercado_Receita!$S$2:$S$170,"44501B1ConvencionalResidencialResidencial baixa renda – faixa 02Não se aplicaNão se aplicaFora ponta",Mercado_Receita!$L$2:$L$170)+SUMIF(Mercado_Receita!$S$2:$S$170,"44501B1ConvencionalResidencialResidencial baixa renda – faixa 02Não se aplicaNão se aplicaIntermediário",Mercado_Receita!$L$2:$L$170)+SUMIF(Mercado_Receita!$S$2:$S$170,"44501B1ConvencionalResidencialResidencial baixa renda – faixa 02Não se aplicaNão se aplicaNão se aplica",Mercado_Receita!$L$2:$L$170)</f>
        <v>0.36399999999999999</v>
      </c>
      <c r="L19" s="12">
        <f>SUMIF(Mercado_Receita!$S$2:$S$170,"44531B1ConvencionalResidencialResidencial baixa renda – faixa 02Não se aplicaNão se aplicaPonta",Mercado_Receita!$L$2:$L$170)+SUMIF(Mercado_Receita!$S$2:$S$170,"44531B1ConvencionalResidencialResidencial baixa renda – faixa 02Não se aplicaNão se aplicaFora ponta",Mercado_Receita!$L$2:$L$170)+SUMIF(Mercado_Receita!$S$2:$S$170,"44531B1ConvencionalResidencialResidencial baixa renda – faixa 02Não se aplicaNão se aplicaIntermediário",Mercado_Receita!$L$2:$L$170)+SUMIF(Mercado_Receita!$S$2:$S$170,"44531B1ConvencionalResidencialResidencial baixa renda – faixa 02Não se aplicaNão se aplicaNão se aplica",Mercado_Receita!$L$2:$L$170)</f>
        <v>0.32400000000000001</v>
      </c>
      <c r="M19" s="12">
        <f>SUMIF(Mercado_Receita!$S$2:$S$170,"44562B1ConvencionalResidencialResidencial baixa renda – faixa 02Não se aplicaNão se aplicaPonta",Mercado_Receita!$L$2:$L$170)+SUMIF(Mercado_Receita!$S$2:$S$170,"44562B1ConvencionalResidencialResidencial baixa renda – faixa 02Não se aplicaNão se aplicaFora ponta",Mercado_Receita!$L$2:$L$170)+SUMIF(Mercado_Receita!$S$2:$S$170,"44562B1ConvencionalResidencialResidencial baixa renda – faixa 02Não se aplicaNão se aplicaIntermediário",Mercado_Receita!$L$2:$L$170)+SUMIF(Mercado_Receita!$S$2:$S$170,"44562B1ConvencionalResidencialResidencial baixa renda – faixa 02Não se aplicaNão se aplicaNão se aplica",Mercado_Receita!$L$2:$L$170)</f>
        <v>0.49199999999999999</v>
      </c>
      <c r="N19" s="12">
        <f>SUMIF(Mercado_Receita!$S$2:$S$170,"44593B1ConvencionalResidencialResidencial baixa renda – faixa 02Não se aplicaNão se aplicaPonta",Mercado_Receita!$L$2:$L$170)+SUMIF(Mercado_Receita!$S$2:$S$170,"44593B1ConvencionalResidencialResidencial baixa renda – faixa 02Não se aplicaNão se aplicaFora ponta",Mercado_Receita!$L$2:$L$170)+SUMIF(Mercado_Receita!$S$2:$S$170,"44593B1ConvencionalResidencialResidencial baixa renda – faixa 02Não se aplicaNão se aplicaIntermediário",Mercado_Receita!$L$2:$L$170)+SUMIF(Mercado_Receita!$S$2:$S$170,"44593B1ConvencionalResidencialResidencial baixa renda – faixa 02Não se aplicaNão se aplicaNão se aplica",Mercado_Receita!$L$2:$L$170)</f>
        <v>0.56599999999999995</v>
      </c>
      <c r="O19" s="12">
        <f>SUMIF(Mercado_Receita!$S$2:$S$170,"44621B1ConvencionalResidencialResidencial baixa renda – faixa 02Não se aplicaNão se aplicaPonta",Mercado_Receita!$L$2:$L$170)+SUMIF(Mercado_Receita!$S$2:$S$170,"44621B1ConvencionalResidencialResidencial baixa renda – faixa 02Não se aplicaNão se aplicaFora ponta",Mercado_Receita!$L$2:$L$170)+SUMIF(Mercado_Receita!$S$2:$S$170,"44621B1ConvencionalResidencialResidencial baixa renda – faixa 02Não se aplicaNão se aplicaIntermediário",Mercado_Receita!$L$2:$L$170)+SUMIF(Mercado_Receita!$S$2:$S$170,"44621B1ConvencionalResidencialResidencial baixa renda – faixa 02Não se aplicaNão se aplicaNão se aplica",Mercado_Receita!$L$2:$L$170)</f>
        <v>0.503</v>
      </c>
      <c r="P19" s="12">
        <f>SUMIF(Mercado_Receita!$S$2:$S$170,"44652B1ConvencionalResidencialResidencial baixa renda – faixa 02Não se aplicaNão se aplicaPonta",Mercado_Receita!$L$2:$L$170)+SUMIF(Mercado_Receita!$S$2:$S$170,"44652B1ConvencionalResidencialResidencial baixa renda – faixa 02Não se aplicaNão se aplicaFora ponta",Mercado_Receita!$L$2:$L$170)+SUMIF(Mercado_Receita!$S$2:$S$170,"44652B1ConvencionalResidencialResidencial baixa renda – faixa 02Não se aplicaNão se aplicaIntermediário",Mercado_Receita!$L$2:$L$170)+SUMIF(Mercado_Receita!$S$2:$S$170,"44652B1ConvencionalResidencialResidencial baixa renda – faixa 02Não se aplicaNão se aplicaNão se aplica",Mercado_Receita!$L$2:$L$170)</f>
        <v>0.56599999999999995</v>
      </c>
      <c r="Q19" s="12">
        <f>SUMIF(Mercado_Receita!$S$2:$S$170,"44682B1ConvencionalResidencialResidencial baixa renda – faixa 02Não se aplicaNão se aplicaPonta",Mercado_Receita!$L$2:$L$170)+SUMIF(Mercado_Receita!$S$2:$S$170,"44682B1ConvencionalResidencialResidencial baixa renda – faixa 02Não se aplicaNão se aplicaFora ponta",Mercado_Receita!$L$2:$L$170)+SUMIF(Mercado_Receita!$S$2:$S$170,"44682B1ConvencionalResidencialResidencial baixa renda – faixa 02Não se aplicaNão se aplicaIntermediário",Mercado_Receita!$L$2:$L$170)+SUMIF(Mercado_Receita!$S$2:$S$170,"44682B1ConvencionalResidencialResidencial baixa renda – faixa 02Não se aplicaNão se aplicaNão se aplica",Mercado_Receita!$L$2:$L$170)</f>
        <v>0.38900000000000001</v>
      </c>
      <c r="R19" s="12">
        <f>SUMIF(Mercado_Receita!$S$2:$S$170,"44713B1ConvencionalResidencialResidencial baixa renda – faixa 02Não se aplicaNão se aplicaPonta",Mercado_Receita!$L$2:$L$170)+SUMIF(Mercado_Receita!$S$2:$S$170,"44713B1ConvencionalResidencialResidencial baixa renda – faixa 02Não se aplicaNão se aplicaFora ponta",Mercado_Receita!$L$2:$L$170)+SUMIF(Mercado_Receita!$S$2:$S$170,"44713B1ConvencionalResidencialResidencial baixa renda – faixa 02Não se aplicaNão se aplicaIntermediário",Mercado_Receita!$L$2:$L$170)+SUMIF(Mercado_Receita!$S$2:$S$170,"44713B1ConvencionalResidencialResidencial baixa renda – faixa 02Não se aplicaNão se aplicaNão se aplica",Mercado_Receita!$L$2:$L$170)</f>
        <v>0.42399999999999999</v>
      </c>
      <c r="S19" s="12">
        <f>SUMIF(Mercado_Receita!$S$2:$S$170,"44743B1ConvencionalResidencialResidencial baixa renda – faixa 02Não se aplicaNão se aplicaPonta",Mercado_Receita!$L$2:$L$170)+SUMIF(Mercado_Receita!$S$2:$S$170,"44743B1ConvencionalResidencialResidencial baixa renda – faixa 02Não se aplicaNão se aplicaFora ponta",Mercado_Receita!$L$2:$L$170)+SUMIF(Mercado_Receita!$S$2:$S$170,"44743B1ConvencionalResidencialResidencial baixa renda – faixa 02Não se aplicaNão se aplicaIntermediário",Mercado_Receita!$L$2:$L$170)+SUMIF(Mercado_Receita!$S$2:$S$170,"44743B1ConvencionalResidencialResidencial baixa renda – faixa 02Não se aplicaNão se aplicaNão se aplica",Mercado_Receita!$L$2:$L$170)</f>
        <v>0.33300000000000002</v>
      </c>
      <c r="T19" s="12">
        <f>SUMIF(Mercado_Receita!$S$2:$S$170,"44774B1ConvencionalResidencialResidencial baixa renda – faixa 02Não se aplicaNão se aplicaPonta",Mercado_Receita!$L$2:$L$170)+SUMIF(Mercado_Receita!$S$2:$S$170,"44774B1ConvencionalResidencialResidencial baixa renda – faixa 02Não se aplicaNão se aplicaFora ponta",Mercado_Receita!$L$2:$L$170)+SUMIF(Mercado_Receita!$S$2:$S$170,"44774B1ConvencionalResidencialResidencial baixa renda – faixa 02Não se aplicaNão se aplicaIntermediário",Mercado_Receita!$L$2:$L$170)+SUMIF(Mercado_Receita!$S$2:$S$170,"44774B1ConvencionalResidencialResidencial baixa renda – faixa 02Não se aplicaNão se aplicaNão se aplica",Mercado_Receita!$L$2:$L$170)</f>
        <v>0.31900000000000001</v>
      </c>
      <c r="U19" s="12">
        <f t="shared" si="0"/>
        <v>4.8120000000000003</v>
      </c>
      <c r="V19" s="12"/>
      <c r="W19" s="12"/>
    </row>
    <row r="20" spans="1:23" ht="11.25" customHeight="1" x14ac:dyDescent="0.25">
      <c r="A20" s="90"/>
      <c r="B20" s="90"/>
      <c r="C20" s="90"/>
      <c r="D20" s="13" t="s">
        <v>29</v>
      </c>
      <c r="E20" s="13" t="s">
        <v>25</v>
      </c>
      <c r="F20" s="13" t="s">
        <v>25</v>
      </c>
      <c r="G20" s="12" t="s">
        <v>69</v>
      </c>
      <c r="H20" s="12" t="s">
        <v>63</v>
      </c>
      <c r="I20" s="12">
        <f>SUMIF(Mercado_Receita!$S$2:$S$170,"44440B1ConvencionalResidencialResidencial baixa renda – faixa 03Não se aplicaNão se aplicaPonta",Mercado_Receita!$L$2:$L$170)+SUMIF(Mercado_Receita!$S$2:$S$170,"44440B1ConvencionalResidencialResidencial baixa renda – faixa 03Não se aplicaNão se aplicaFora ponta",Mercado_Receita!$L$2:$L$170)+SUMIF(Mercado_Receita!$S$2:$S$170,"44440B1ConvencionalResidencialResidencial baixa renda – faixa 03Não se aplicaNão se aplicaIntermediário",Mercado_Receita!$L$2:$L$170)+SUMIF(Mercado_Receita!$S$2:$S$170,"44440B1ConvencionalResidencialResidencial baixa renda – faixa 03Não se aplicaNão se aplicaNão se aplica",Mercado_Receita!$L$2:$L$170)</f>
        <v>0.12</v>
      </c>
      <c r="J20" s="12">
        <f>SUMIF(Mercado_Receita!$S$2:$S$170,"44470B1ConvencionalResidencialResidencial baixa renda – faixa 03Não se aplicaNão se aplicaPonta",Mercado_Receita!$L$2:$L$170)+SUMIF(Mercado_Receita!$S$2:$S$170,"44470B1ConvencionalResidencialResidencial baixa renda – faixa 03Não se aplicaNão se aplicaFora ponta",Mercado_Receita!$L$2:$L$170)+SUMIF(Mercado_Receita!$S$2:$S$170,"44470B1ConvencionalResidencialResidencial baixa renda – faixa 03Não se aplicaNão se aplicaIntermediário",Mercado_Receita!$L$2:$L$170)+SUMIF(Mercado_Receita!$S$2:$S$170,"44470B1ConvencionalResidencialResidencial baixa renda – faixa 03Não se aplicaNão se aplicaNão se aplica",Mercado_Receita!$L$2:$L$170)</f>
        <v>0</v>
      </c>
      <c r="K20" s="12">
        <f>SUMIF(Mercado_Receita!$S$2:$S$170,"44501B1ConvencionalResidencialResidencial baixa renda – faixa 03Não se aplicaNão se aplicaPonta",Mercado_Receita!$L$2:$L$170)+SUMIF(Mercado_Receita!$S$2:$S$170,"44501B1ConvencionalResidencialResidencial baixa renda – faixa 03Não se aplicaNão se aplicaFora ponta",Mercado_Receita!$L$2:$L$170)+SUMIF(Mercado_Receita!$S$2:$S$170,"44501B1ConvencionalResidencialResidencial baixa renda – faixa 03Não se aplicaNão se aplicaIntermediário",Mercado_Receita!$L$2:$L$170)+SUMIF(Mercado_Receita!$S$2:$S$170,"44501B1ConvencionalResidencialResidencial baixa renda – faixa 03Não se aplicaNão se aplicaNão se aplica",Mercado_Receita!$L$2:$L$170)</f>
        <v>0</v>
      </c>
      <c r="L20" s="12">
        <f>SUMIF(Mercado_Receita!$S$2:$S$170,"44531B1ConvencionalResidencialResidencial baixa renda – faixa 03Não se aplicaNão se aplicaPonta",Mercado_Receita!$L$2:$L$170)+SUMIF(Mercado_Receita!$S$2:$S$170,"44531B1ConvencionalResidencialResidencial baixa renda – faixa 03Não se aplicaNão se aplicaFora ponta",Mercado_Receita!$L$2:$L$170)+SUMIF(Mercado_Receita!$S$2:$S$170,"44531B1ConvencionalResidencialResidencial baixa renda – faixa 03Não se aplicaNão se aplicaIntermediário",Mercado_Receita!$L$2:$L$170)+SUMIF(Mercado_Receita!$S$2:$S$170,"44531B1ConvencionalResidencialResidencial baixa renda – faixa 03Não se aplicaNão se aplicaNão se aplica",Mercado_Receita!$L$2:$L$170)</f>
        <v>0</v>
      </c>
      <c r="M20" s="12">
        <f>SUMIF(Mercado_Receita!$S$2:$S$170,"44562B1ConvencionalResidencialResidencial baixa renda – faixa 03Não se aplicaNão se aplicaPonta",Mercado_Receita!$L$2:$L$170)+SUMIF(Mercado_Receita!$S$2:$S$170,"44562B1ConvencionalResidencialResidencial baixa renda – faixa 03Não se aplicaNão se aplicaFora ponta",Mercado_Receita!$L$2:$L$170)+SUMIF(Mercado_Receita!$S$2:$S$170,"44562B1ConvencionalResidencialResidencial baixa renda – faixa 03Não se aplicaNão se aplicaIntermediário",Mercado_Receita!$L$2:$L$170)+SUMIF(Mercado_Receita!$S$2:$S$170,"44562B1ConvencionalResidencialResidencial baixa renda – faixa 03Não se aplicaNão se aplicaNão se aplica",Mercado_Receita!$L$2:$L$170)</f>
        <v>0</v>
      </c>
      <c r="N20" s="12">
        <f>SUMIF(Mercado_Receita!$S$2:$S$170,"44593B1ConvencionalResidencialResidencial baixa renda – faixa 03Não se aplicaNão se aplicaPonta",Mercado_Receita!$L$2:$L$170)+SUMIF(Mercado_Receita!$S$2:$S$170,"44593B1ConvencionalResidencialResidencial baixa renda – faixa 03Não se aplicaNão se aplicaFora ponta",Mercado_Receita!$L$2:$L$170)+SUMIF(Mercado_Receita!$S$2:$S$170,"44593B1ConvencionalResidencialResidencial baixa renda – faixa 03Não se aplicaNão se aplicaIntermediário",Mercado_Receita!$L$2:$L$170)+SUMIF(Mercado_Receita!$S$2:$S$170,"44593B1ConvencionalResidencialResidencial baixa renda – faixa 03Não se aplicaNão se aplicaNão se aplica",Mercado_Receita!$L$2:$L$170)</f>
        <v>0</v>
      </c>
      <c r="O20" s="12">
        <f>SUMIF(Mercado_Receita!$S$2:$S$170,"44621B1ConvencionalResidencialResidencial baixa renda – faixa 03Não se aplicaNão se aplicaPonta",Mercado_Receita!$L$2:$L$170)+SUMIF(Mercado_Receita!$S$2:$S$170,"44621B1ConvencionalResidencialResidencial baixa renda – faixa 03Não se aplicaNão se aplicaFora ponta",Mercado_Receita!$L$2:$L$170)+SUMIF(Mercado_Receita!$S$2:$S$170,"44621B1ConvencionalResidencialResidencial baixa renda – faixa 03Não se aplicaNão se aplicaIntermediário",Mercado_Receita!$L$2:$L$170)+SUMIF(Mercado_Receita!$S$2:$S$170,"44621B1ConvencionalResidencialResidencial baixa renda – faixa 03Não se aplicaNão se aplicaNão se aplica",Mercado_Receita!$L$2:$L$170)</f>
        <v>0</v>
      </c>
      <c r="P20" s="12">
        <f>SUMIF(Mercado_Receita!$S$2:$S$170,"44652B1ConvencionalResidencialResidencial baixa renda – faixa 03Não se aplicaNão se aplicaPonta",Mercado_Receita!$L$2:$L$170)+SUMIF(Mercado_Receita!$S$2:$S$170,"44652B1ConvencionalResidencialResidencial baixa renda – faixa 03Não se aplicaNão se aplicaFora ponta",Mercado_Receita!$L$2:$L$170)+SUMIF(Mercado_Receita!$S$2:$S$170,"44652B1ConvencionalResidencialResidencial baixa renda – faixa 03Não se aplicaNão se aplicaIntermediário",Mercado_Receita!$L$2:$L$170)+SUMIF(Mercado_Receita!$S$2:$S$170,"44652B1ConvencionalResidencialResidencial baixa renda – faixa 03Não se aplicaNão se aplicaNão se aplica",Mercado_Receita!$L$2:$L$170)</f>
        <v>0</v>
      </c>
      <c r="Q20" s="12">
        <f>SUMIF(Mercado_Receita!$S$2:$S$170,"44682B1ConvencionalResidencialResidencial baixa renda – faixa 03Não se aplicaNão se aplicaPonta",Mercado_Receita!$L$2:$L$170)+SUMIF(Mercado_Receita!$S$2:$S$170,"44682B1ConvencionalResidencialResidencial baixa renda – faixa 03Não se aplicaNão se aplicaFora ponta",Mercado_Receita!$L$2:$L$170)+SUMIF(Mercado_Receita!$S$2:$S$170,"44682B1ConvencionalResidencialResidencial baixa renda – faixa 03Não se aplicaNão se aplicaIntermediário",Mercado_Receita!$L$2:$L$170)+SUMIF(Mercado_Receita!$S$2:$S$170,"44682B1ConvencionalResidencialResidencial baixa renda – faixa 03Não se aplicaNão se aplicaNão se aplica",Mercado_Receita!$L$2:$L$170)</f>
        <v>0</v>
      </c>
      <c r="R20" s="12">
        <f>SUMIF(Mercado_Receita!$S$2:$S$170,"44713B1ConvencionalResidencialResidencial baixa renda – faixa 03Não se aplicaNão se aplicaPonta",Mercado_Receita!$L$2:$L$170)+SUMIF(Mercado_Receita!$S$2:$S$170,"44713B1ConvencionalResidencialResidencial baixa renda – faixa 03Não se aplicaNão se aplicaFora ponta",Mercado_Receita!$L$2:$L$170)+SUMIF(Mercado_Receita!$S$2:$S$170,"44713B1ConvencionalResidencialResidencial baixa renda – faixa 03Não se aplicaNão se aplicaIntermediário",Mercado_Receita!$L$2:$L$170)+SUMIF(Mercado_Receita!$S$2:$S$170,"44713B1ConvencionalResidencialResidencial baixa renda – faixa 03Não se aplicaNão se aplicaNão se aplica",Mercado_Receita!$L$2:$L$170)</f>
        <v>0</v>
      </c>
      <c r="S20" s="12">
        <f>SUMIF(Mercado_Receita!$S$2:$S$170,"44743B1ConvencionalResidencialResidencial baixa renda – faixa 03Não se aplicaNão se aplicaPonta",Mercado_Receita!$L$2:$L$170)+SUMIF(Mercado_Receita!$S$2:$S$170,"44743B1ConvencionalResidencialResidencial baixa renda – faixa 03Não se aplicaNão se aplicaFora ponta",Mercado_Receita!$L$2:$L$170)+SUMIF(Mercado_Receita!$S$2:$S$170,"44743B1ConvencionalResidencialResidencial baixa renda – faixa 03Não se aplicaNão se aplicaIntermediário",Mercado_Receita!$L$2:$L$170)+SUMIF(Mercado_Receita!$S$2:$S$170,"44743B1ConvencionalResidencialResidencial baixa renda – faixa 03Não se aplicaNão se aplicaNão se aplica",Mercado_Receita!$L$2:$L$170)</f>
        <v>0</v>
      </c>
      <c r="T20" s="12">
        <f>SUMIF(Mercado_Receita!$S$2:$S$170,"44774B1ConvencionalResidencialResidencial baixa renda – faixa 03Não se aplicaNão se aplicaPonta",Mercado_Receita!$L$2:$L$170)+SUMIF(Mercado_Receita!$S$2:$S$170,"44774B1ConvencionalResidencialResidencial baixa renda – faixa 03Não se aplicaNão se aplicaFora ponta",Mercado_Receita!$L$2:$L$170)+SUMIF(Mercado_Receita!$S$2:$S$170,"44774B1ConvencionalResidencialResidencial baixa renda – faixa 03Não se aplicaNão se aplicaIntermediário",Mercado_Receita!$L$2:$L$170)+SUMIF(Mercado_Receita!$S$2:$S$170,"44774B1ConvencionalResidencialResidencial baixa renda – faixa 03Não se aplicaNão se aplicaNão se aplica",Mercado_Receita!$L$2:$L$170)</f>
        <v>0</v>
      </c>
      <c r="U20" s="12">
        <f t="shared" si="0"/>
        <v>0.12</v>
      </c>
      <c r="V20" s="12"/>
      <c r="W20" s="12"/>
    </row>
    <row r="21" spans="1:23" ht="11.25" customHeight="1" x14ac:dyDescent="0.25">
      <c r="A21" s="90"/>
      <c r="B21" s="90"/>
      <c r="C21" s="90"/>
      <c r="D21" s="13" t="s">
        <v>30</v>
      </c>
      <c r="E21" s="13" t="s">
        <v>25</v>
      </c>
      <c r="F21" s="13" t="s">
        <v>25</v>
      </c>
      <c r="G21" s="12" t="s">
        <v>69</v>
      </c>
      <c r="H21" s="12" t="s">
        <v>63</v>
      </c>
      <c r="I21" s="12">
        <f>SUMIF(Mercado_Receita!$S$2:$S$170,"44440B1ConvencionalResidencialResidencial baixa renda – faixa 04Não se aplicaNão se aplicaPonta",Mercado_Receita!$L$2:$L$170)+SUMIF(Mercado_Receita!$S$2:$S$170,"44440B1ConvencionalResidencialResidencial baixa renda – faixa 04Não se aplicaNão se aplicaFora ponta",Mercado_Receita!$L$2:$L$170)+SUMIF(Mercado_Receita!$S$2:$S$170,"44440B1ConvencionalResidencialResidencial baixa renda – faixa 04Não se aplicaNão se aplicaIntermediário",Mercado_Receita!$L$2:$L$170)+SUMIF(Mercado_Receita!$S$2:$S$170,"44440B1ConvencionalResidencialResidencial baixa renda – faixa 04Não se aplicaNão se aplicaNão se aplica",Mercado_Receita!$L$2:$L$170)</f>
        <v>0.31900000000000001</v>
      </c>
      <c r="J21" s="12">
        <f>SUMIF(Mercado_Receita!$S$2:$S$170,"44470B1ConvencionalResidencialResidencial baixa renda – faixa 04Não se aplicaNão se aplicaPonta",Mercado_Receita!$L$2:$L$170)+SUMIF(Mercado_Receita!$S$2:$S$170,"44470B1ConvencionalResidencialResidencial baixa renda – faixa 04Não se aplicaNão se aplicaFora ponta",Mercado_Receita!$L$2:$L$170)+SUMIF(Mercado_Receita!$S$2:$S$170,"44470B1ConvencionalResidencialResidencial baixa renda – faixa 04Não se aplicaNão se aplicaIntermediário",Mercado_Receita!$L$2:$L$170)+SUMIF(Mercado_Receita!$S$2:$S$170,"44470B1ConvencionalResidencialResidencial baixa renda – faixa 04Não se aplicaNão se aplicaNão se aplica",Mercado_Receita!$L$2:$L$170)</f>
        <v>0</v>
      </c>
      <c r="K21" s="12">
        <f>SUMIF(Mercado_Receita!$S$2:$S$170,"44501B1ConvencionalResidencialResidencial baixa renda – faixa 04Não se aplicaNão se aplicaPonta",Mercado_Receita!$L$2:$L$170)+SUMIF(Mercado_Receita!$S$2:$S$170,"44501B1ConvencionalResidencialResidencial baixa renda – faixa 04Não se aplicaNão se aplicaFora ponta",Mercado_Receita!$L$2:$L$170)+SUMIF(Mercado_Receita!$S$2:$S$170,"44501B1ConvencionalResidencialResidencial baixa renda – faixa 04Não se aplicaNão se aplicaIntermediário",Mercado_Receita!$L$2:$L$170)+SUMIF(Mercado_Receita!$S$2:$S$170,"44501B1ConvencionalResidencialResidencial baixa renda – faixa 04Não se aplicaNão se aplicaNão se aplica",Mercado_Receita!$L$2:$L$170)</f>
        <v>0</v>
      </c>
      <c r="L21" s="12">
        <f>SUMIF(Mercado_Receita!$S$2:$S$170,"44531B1ConvencionalResidencialResidencial baixa renda – faixa 04Não se aplicaNão se aplicaPonta",Mercado_Receita!$L$2:$L$170)+SUMIF(Mercado_Receita!$S$2:$S$170,"44531B1ConvencionalResidencialResidencial baixa renda – faixa 04Não se aplicaNão se aplicaFora ponta",Mercado_Receita!$L$2:$L$170)+SUMIF(Mercado_Receita!$S$2:$S$170,"44531B1ConvencionalResidencialResidencial baixa renda – faixa 04Não se aplicaNão se aplicaIntermediário",Mercado_Receita!$L$2:$L$170)+SUMIF(Mercado_Receita!$S$2:$S$170,"44531B1ConvencionalResidencialResidencial baixa renda – faixa 04Não se aplicaNão se aplicaNão se aplica",Mercado_Receita!$L$2:$L$170)</f>
        <v>0</v>
      </c>
      <c r="M21" s="12">
        <f>SUMIF(Mercado_Receita!$S$2:$S$170,"44562B1ConvencionalResidencialResidencial baixa renda – faixa 04Não se aplicaNão se aplicaPonta",Mercado_Receita!$L$2:$L$170)+SUMIF(Mercado_Receita!$S$2:$S$170,"44562B1ConvencionalResidencialResidencial baixa renda – faixa 04Não se aplicaNão se aplicaFora ponta",Mercado_Receita!$L$2:$L$170)+SUMIF(Mercado_Receita!$S$2:$S$170,"44562B1ConvencionalResidencialResidencial baixa renda – faixa 04Não se aplicaNão se aplicaIntermediário",Mercado_Receita!$L$2:$L$170)+SUMIF(Mercado_Receita!$S$2:$S$170,"44562B1ConvencionalResidencialResidencial baixa renda – faixa 04Não se aplicaNão se aplicaNão se aplica",Mercado_Receita!$L$2:$L$170)</f>
        <v>0</v>
      </c>
      <c r="N21" s="12">
        <f>SUMIF(Mercado_Receita!$S$2:$S$170,"44593B1ConvencionalResidencialResidencial baixa renda – faixa 04Não se aplicaNão se aplicaPonta",Mercado_Receita!$L$2:$L$170)+SUMIF(Mercado_Receita!$S$2:$S$170,"44593B1ConvencionalResidencialResidencial baixa renda – faixa 04Não se aplicaNão se aplicaFora ponta",Mercado_Receita!$L$2:$L$170)+SUMIF(Mercado_Receita!$S$2:$S$170,"44593B1ConvencionalResidencialResidencial baixa renda – faixa 04Não se aplicaNão se aplicaIntermediário",Mercado_Receita!$L$2:$L$170)+SUMIF(Mercado_Receita!$S$2:$S$170,"44593B1ConvencionalResidencialResidencial baixa renda – faixa 04Não se aplicaNão se aplicaNão se aplica",Mercado_Receita!$L$2:$L$170)</f>
        <v>0</v>
      </c>
      <c r="O21" s="12">
        <f>SUMIF(Mercado_Receita!$S$2:$S$170,"44621B1ConvencionalResidencialResidencial baixa renda – faixa 04Não se aplicaNão se aplicaPonta",Mercado_Receita!$L$2:$L$170)+SUMIF(Mercado_Receita!$S$2:$S$170,"44621B1ConvencionalResidencialResidencial baixa renda – faixa 04Não se aplicaNão se aplicaFora ponta",Mercado_Receita!$L$2:$L$170)+SUMIF(Mercado_Receita!$S$2:$S$170,"44621B1ConvencionalResidencialResidencial baixa renda – faixa 04Não se aplicaNão se aplicaIntermediário",Mercado_Receita!$L$2:$L$170)+SUMIF(Mercado_Receita!$S$2:$S$170,"44621B1ConvencionalResidencialResidencial baixa renda – faixa 04Não se aplicaNão se aplicaNão se aplica",Mercado_Receita!$L$2:$L$170)</f>
        <v>0</v>
      </c>
      <c r="P21" s="12">
        <f>SUMIF(Mercado_Receita!$S$2:$S$170,"44652B1ConvencionalResidencialResidencial baixa renda – faixa 04Não se aplicaNão se aplicaPonta",Mercado_Receita!$L$2:$L$170)+SUMIF(Mercado_Receita!$S$2:$S$170,"44652B1ConvencionalResidencialResidencial baixa renda – faixa 04Não se aplicaNão se aplicaFora ponta",Mercado_Receita!$L$2:$L$170)+SUMIF(Mercado_Receita!$S$2:$S$170,"44652B1ConvencionalResidencialResidencial baixa renda – faixa 04Não se aplicaNão se aplicaIntermediário",Mercado_Receita!$L$2:$L$170)+SUMIF(Mercado_Receita!$S$2:$S$170,"44652B1ConvencionalResidencialResidencial baixa renda – faixa 04Não se aplicaNão se aplicaNão se aplica",Mercado_Receita!$L$2:$L$170)</f>
        <v>0</v>
      </c>
      <c r="Q21" s="12">
        <f>SUMIF(Mercado_Receita!$S$2:$S$170,"44682B1ConvencionalResidencialResidencial baixa renda – faixa 04Não se aplicaNão se aplicaPonta",Mercado_Receita!$L$2:$L$170)+SUMIF(Mercado_Receita!$S$2:$S$170,"44682B1ConvencionalResidencialResidencial baixa renda – faixa 04Não se aplicaNão se aplicaFora ponta",Mercado_Receita!$L$2:$L$170)+SUMIF(Mercado_Receita!$S$2:$S$170,"44682B1ConvencionalResidencialResidencial baixa renda – faixa 04Não se aplicaNão se aplicaIntermediário",Mercado_Receita!$L$2:$L$170)+SUMIF(Mercado_Receita!$S$2:$S$170,"44682B1ConvencionalResidencialResidencial baixa renda – faixa 04Não se aplicaNão se aplicaNão se aplica",Mercado_Receita!$L$2:$L$170)</f>
        <v>0</v>
      </c>
      <c r="R21" s="12">
        <f>SUMIF(Mercado_Receita!$S$2:$S$170,"44713B1ConvencionalResidencialResidencial baixa renda – faixa 04Não se aplicaNão se aplicaPonta",Mercado_Receita!$L$2:$L$170)+SUMIF(Mercado_Receita!$S$2:$S$170,"44713B1ConvencionalResidencialResidencial baixa renda – faixa 04Não se aplicaNão se aplicaFora ponta",Mercado_Receita!$L$2:$L$170)+SUMIF(Mercado_Receita!$S$2:$S$170,"44713B1ConvencionalResidencialResidencial baixa renda – faixa 04Não se aplicaNão se aplicaIntermediário",Mercado_Receita!$L$2:$L$170)+SUMIF(Mercado_Receita!$S$2:$S$170,"44713B1ConvencionalResidencialResidencial baixa renda – faixa 04Não se aplicaNão se aplicaNão se aplica",Mercado_Receita!$L$2:$L$170)</f>
        <v>0</v>
      </c>
      <c r="S21" s="12">
        <f>SUMIF(Mercado_Receita!$S$2:$S$170,"44743B1ConvencionalResidencialResidencial baixa renda – faixa 04Não se aplicaNão se aplicaPonta",Mercado_Receita!$L$2:$L$170)+SUMIF(Mercado_Receita!$S$2:$S$170,"44743B1ConvencionalResidencialResidencial baixa renda – faixa 04Não se aplicaNão se aplicaFora ponta",Mercado_Receita!$L$2:$L$170)+SUMIF(Mercado_Receita!$S$2:$S$170,"44743B1ConvencionalResidencialResidencial baixa renda – faixa 04Não se aplicaNão se aplicaIntermediário",Mercado_Receita!$L$2:$L$170)+SUMIF(Mercado_Receita!$S$2:$S$170,"44743B1ConvencionalResidencialResidencial baixa renda – faixa 04Não se aplicaNão se aplicaNão se aplica",Mercado_Receita!$L$2:$L$170)</f>
        <v>0</v>
      </c>
      <c r="T21" s="12">
        <f>SUMIF(Mercado_Receita!$S$2:$S$170,"44774B1ConvencionalResidencialResidencial baixa renda – faixa 04Não se aplicaNão se aplicaPonta",Mercado_Receita!$L$2:$L$170)+SUMIF(Mercado_Receita!$S$2:$S$170,"44774B1ConvencionalResidencialResidencial baixa renda – faixa 04Não se aplicaNão se aplicaFora ponta",Mercado_Receita!$L$2:$L$170)+SUMIF(Mercado_Receita!$S$2:$S$170,"44774B1ConvencionalResidencialResidencial baixa renda – faixa 04Não se aplicaNão se aplicaIntermediário",Mercado_Receita!$L$2:$L$170)+SUMIF(Mercado_Receita!$S$2:$S$170,"44774B1ConvencionalResidencialResidencial baixa renda – faixa 04Não se aplicaNão se aplicaNão se aplica",Mercado_Receita!$L$2:$L$170)</f>
        <v>0</v>
      </c>
      <c r="U21" s="12">
        <f t="shared" si="0"/>
        <v>0.31900000000000001</v>
      </c>
      <c r="V21" s="12"/>
      <c r="W21" s="12"/>
    </row>
    <row r="22" spans="1:23" ht="11.25" customHeight="1" x14ac:dyDescent="0.25">
      <c r="A22" s="90"/>
      <c r="B22" s="89" t="s">
        <v>79</v>
      </c>
      <c r="C22" s="89" t="s">
        <v>24</v>
      </c>
      <c r="D22" s="13" t="s">
        <v>24</v>
      </c>
      <c r="E22" s="13" t="s">
        <v>25</v>
      </c>
      <c r="F22" s="13" t="s">
        <v>25</v>
      </c>
      <c r="G22" s="12" t="s">
        <v>69</v>
      </c>
      <c r="H22" s="12" t="s">
        <v>63</v>
      </c>
      <c r="I22" s="12">
        <f>SUMIF(Mercado_Receita!$S$2:$S$170,"44440B1Convencional pré-pagamentoResidencialResidencialNão se aplicaNão se aplicaPonta",Mercado_Receita!$L$2:$L$170)+SUMIF(Mercado_Receita!$S$2:$S$170,"44440B1Convencional pré-pagamentoResidencialResidencialNão se aplicaNão se aplicaFora ponta",Mercado_Receita!$L$2:$L$170)+SUMIF(Mercado_Receita!$S$2:$S$170,"44440B1Convencional pré-pagamentoResidencialResidencialNão se aplicaNão se aplicaIntermediário",Mercado_Receita!$L$2:$L$170)+SUMIF(Mercado_Receita!$S$2:$S$170,"44440B1Convencional pré-pagamentoResidencialResidencialNão se aplicaNão se aplicaNão se aplica",Mercado_Receita!$L$2:$L$170)</f>
        <v>0</v>
      </c>
      <c r="J22" s="12">
        <f>SUMIF(Mercado_Receita!$S$2:$S$170,"44470B1Convencional pré-pagamentoResidencialResidencialNão se aplicaNão se aplicaPonta",Mercado_Receita!$L$2:$L$170)+SUMIF(Mercado_Receita!$S$2:$S$170,"44470B1Convencional pré-pagamentoResidencialResidencialNão se aplicaNão se aplicaFora ponta",Mercado_Receita!$L$2:$L$170)+SUMIF(Mercado_Receita!$S$2:$S$170,"44470B1Convencional pré-pagamentoResidencialResidencialNão se aplicaNão se aplicaIntermediário",Mercado_Receita!$L$2:$L$170)+SUMIF(Mercado_Receita!$S$2:$S$170,"44470B1Convencional pré-pagamentoResidencialResidencialNão se aplicaNão se aplicaNão se aplica",Mercado_Receita!$L$2:$L$170)</f>
        <v>0</v>
      </c>
      <c r="K22" s="12">
        <f>SUMIF(Mercado_Receita!$S$2:$S$170,"44501B1Convencional pré-pagamentoResidencialResidencialNão se aplicaNão se aplicaPonta",Mercado_Receita!$L$2:$L$170)+SUMIF(Mercado_Receita!$S$2:$S$170,"44501B1Convencional pré-pagamentoResidencialResidencialNão se aplicaNão se aplicaFora ponta",Mercado_Receita!$L$2:$L$170)+SUMIF(Mercado_Receita!$S$2:$S$170,"44501B1Convencional pré-pagamentoResidencialResidencialNão se aplicaNão se aplicaIntermediário",Mercado_Receita!$L$2:$L$170)+SUMIF(Mercado_Receita!$S$2:$S$170,"44501B1Convencional pré-pagamentoResidencialResidencialNão se aplicaNão se aplicaNão se aplica",Mercado_Receita!$L$2:$L$170)</f>
        <v>0</v>
      </c>
      <c r="L22" s="12">
        <f>SUMIF(Mercado_Receita!$S$2:$S$170,"44531B1Convencional pré-pagamentoResidencialResidencialNão se aplicaNão se aplicaPonta",Mercado_Receita!$L$2:$L$170)+SUMIF(Mercado_Receita!$S$2:$S$170,"44531B1Convencional pré-pagamentoResidencialResidencialNão se aplicaNão se aplicaFora ponta",Mercado_Receita!$L$2:$L$170)+SUMIF(Mercado_Receita!$S$2:$S$170,"44531B1Convencional pré-pagamentoResidencialResidencialNão se aplicaNão se aplicaIntermediário",Mercado_Receita!$L$2:$L$170)+SUMIF(Mercado_Receita!$S$2:$S$170,"44531B1Convencional pré-pagamentoResidencialResidencialNão se aplicaNão se aplicaNão se aplica",Mercado_Receita!$L$2:$L$170)</f>
        <v>0</v>
      </c>
      <c r="M22" s="12">
        <f>SUMIF(Mercado_Receita!$S$2:$S$170,"44562B1Convencional pré-pagamentoResidencialResidencialNão se aplicaNão se aplicaPonta",Mercado_Receita!$L$2:$L$170)+SUMIF(Mercado_Receita!$S$2:$S$170,"44562B1Convencional pré-pagamentoResidencialResidencialNão se aplicaNão se aplicaFora ponta",Mercado_Receita!$L$2:$L$170)+SUMIF(Mercado_Receita!$S$2:$S$170,"44562B1Convencional pré-pagamentoResidencialResidencialNão se aplicaNão se aplicaIntermediário",Mercado_Receita!$L$2:$L$170)+SUMIF(Mercado_Receita!$S$2:$S$170,"44562B1Convencional pré-pagamentoResidencialResidencialNão se aplicaNão se aplicaNão se aplica",Mercado_Receita!$L$2:$L$170)</f>
        <v>0</v>
      </c>
      <c r="N22" s="12">
        <f>SUMIF(Mercado_Receita!$S$2:$S$170,"44593B1Convencional pré-pagamentoResidencialResidencialNão se aplicaNão se aplicaPonta",Mercado_Receita!$L$2:$L$170)+SUMIF(Mercado_Receita!$S$2:$S$170,"44593B1Convencional pré-pagamentoResidencialResidencialNão se aplicaNão se aplicaFora ponta",Mercado_Receita!$L$2:$L$170)+SUMIF(Mercado_Receita!$S$2:$S$170,"44593B1Convencional pré-pagamentoResidencialResidencialNão se aplicaNão se aplicaIntermediário",Mercado_Receita!$L$2:$L$170)+SUMIF(Mercado_Receita!$S$2:$S$170,"44593B1Convencional pré-pagamentoResidencialResidencialNão se aplicaNão se aplicaNão se aplica",Mercado_Receita!$L$2:$L$170)</f>
        <v>0</v>
      </c>
      <c r="O22" s="12">
        <f>SUMIF(Mercado_Receita!$S$2:$S$170,"44621B1Convencional pré-pagamentoResidencialResidencialNão se aplicaNão se aplicaPonta",Mercado_Receita!$L$2:$L$170)+SUMIF(Mercado_Receita!$S$2:$S$170,"44621B1Convencional pré-pagamentoResidencialResidencialNão se aplicaNão se aplicaFora ponta",Mercado_Receita!$L$2:$L$170)+SUMIF(Mercado_Receita!$S$2:$S$170,"44621B1Convencional pré-pagamentoResidencialResidencialNão se aplicaNão se aplicaIntermediário",Mercado_Receita!$L$2:$L$170)+SUMIF(Mercado_Receita!$S$2:$S$170,"44621B1Convencional pré-pagamentoResidencialResidencialNão se aplicaNão se aplicaNão se aplica",Mercado_Receita!$L$2:$L$170)</f>
        <v>0</v>
      </c>
      <c r="P22" s="12">
        <f>SUMIF(Mercado_Receita!$S$2:$S$170,"44652B1Convencional pré-pagamentoResidencialResidencialNão se aplicaNão se aplicaPonta",Mercado_Receita!$L$2:$L$170)+SUMIF(Mercado_Receita!$S$2:$S$170,"44652B1Convencional pré-pagamentoResidencialResidencialNão se aplicaNão se aplicaFora ponta",Mercado_Receita!$L$2:$L$170)+SUMIF(Mercado_Receita!$S$2:$S$170,"44652B1Convencional pré-pagamentoResidencialResidencialNão se aplicaNão se aplicaIntermediário",Mercado_Receita!$L$2:$L$170)+SUMIF(Mercado_Receita!$S$2:$S$170,"44652B1Convencional pré-pagamentoResidencialResidencialNão se aplicaNão se aplicaNão se aplica",Mercado_Receita!$L$2:$L$170)</f>
        <v>0</v>
      </c>
      <c r="Q22" s="12">
        <f>SUMIF(Mercado_Receita!$S$2:$S$170,"44682B1Convencional pré-pagamentoResidencialResidencialNão se aplicaNão se aplicaPonta",Mercado_Receita!$L$2:$L$170)+SUMIF(Mercado_Receita!$S$2:$S$170,"44682B1Convencional pré-pagamentoResidencialResidencialNão se aplicaNão se aplicaFora ponta",Mercado_Receita!$L$2:$L$170)+SUMIF(Mercado_Receita!$S$2:$S$170,"44682B1Convencional pré-pagamentoResidencialResidencialNão se aplicaNão se aplicaIntermediário",Mercado_Receita!$L$2:$L$170)+SUMIF(Mercado_Receita!$S$2:$S$170,"44682B1Convencional pré-pagamentoResidencialResidencialNão se aplicaNão se aplicaNão se aplica",Mercado_Receita!$L$2:$L$170)</f>
        <v>0</v>
      </c>
      <c r="R22" s="12">
        <f>SUMIF(Mercado_Receita!$S$2:$S$170,"44713B1Convencional pré-pagamentoResidencialResidencialNão se aplicaNão se aplicaPonta",Mercado_Receita!$L$2:$L$170)+SUMIF(Mercado_Receita!$S$2:$S$170,"44713B1Convencional pré-pagamentoResidencialResidencialNão se aplicaNão se aplicaFora ponta",Mercado_Receita!$L$2:$L$170)+SUMIF(Mercado_Receita!$S$2:$S$170,"44713B1Convencional pré-pagamentoResidencialResidencialNão se aplicaNão se aplicaIntermediário",Mercado_Receita!$L$2:$L$170)+SUMIF(Mercado_Receita!$S$2:$S$170,"44713B1Convencional pré-pagamentoResidencialResidencialNão se aplicaNão se aplicaNão se aplica",Mercado_Receita!$L$2:$L$170)</f>
        <v>0</v>
      </c>
      <c r="S22" s="12">
        <f>SUMIF(Mercado_Receita!$S$2:$S$170,"44743B1Convencional pré-pagamentoResidencialResidencialNão se aplicaNão se aplicaPonta",Mercado_Receita!$L$2:$L$170)+SUMIF(Mercado_Receita!$S$2:$S$170,"44743B1Convencional pré-pagamentoResidencialResidencialNão se aplicaNão se aplicaFora ponta",Mercado_Receita!$L$2:$L$170)+SUMIF(Mercado_Receita!$S$2:$S$170,"44743B1Convencional pré-pagamentoResidencialResidencialNão se aplicaNão se aplicaIntermediário",Mercado_Receita!$L$2:$L$170)+SUMIF(Mercado_Receita!$S$2:$S$170,"44743B1Convencional pré-pagamentoResidencialResidencialNão se aplicaNão se aplicaNão se aplica",Mercado_Receita!$L$2:$L$170)</f>
        <v>0</v>
      </c>
      <c r="T22" s="12">
        <f>SUMIF(Mercado_Receita!$S$2:$S$170,"44774B1Convencional pré-pagamentoResidencialResidencialNão se aplicaNão se aplicaPonta",Mercado_Receita!$L$2:$L$170)+SUMIF(Mercado_Receita!$S$2:$S$170,"44774B1Convencional pré-pagamentoResidencialResidencialNão se aplicaNão se aplicaFora ponta",Mercado_Receita!$L$2:$L$170)+SUMIF(Mercado_Receita!$S$2:$S$170,"44774B1Convencional pré-pagamentoResidencialResidencialNão se aplicaNão se aplicaIntermediário",Mercado_Receita!$L$2:$L$170)+SUMIF(Mercado_Receita!$S$2:$S$170,"44774B1Convencional pré-pagamentoResidencialResidencialNão se aplicaNão se aplicaNão se aplica",Mercado_Receita!$L$2:$L$170)</f>
        <v>0</v>
      </c>
      <c r="U22" s="12">
        <f t="shared" si="0"/>
        <v>0</v>
      </c>
      <c r="V22" s="12"/>
      <c r="W22" s="12"/>
    </row>
    <row r="23" spans="1:23" ht="11.25" customHeight="1" x14ac:dyDescent="0.25">
      <c r="A23" s="90"/>
      <c r="B23" s="90"/>
      <c r="C23" s="90"/>
      <c r="D23" s="13" t="s">
        <v>27</v>
      </c>
      <c r="E23" s="13" t="s">
        <v>25</v>
      </c>
      <c r="F23" s="13" t="s">
        <v>25</v>
      </c>
      <c r="G23" s="12" t="s">
        <v>69</v>
      </c>
      <c r="H23" s="12" t="s">
        <v>63</v>
      </c>
      <c r="I23" s="12">
        <f>SUMIF(Mercado_Receita!$S$2:$S$170,"44440B1Convencional pré-pagamentoResidencialResidencial baixa renda – faixa 01Não se aplicaNão se aplicaPonta",Mercado_Receita!$L$2:$L$170)+SUMIF(Mercado_Receita!$S$2:$S$170,"44440B1Convencional pré-pagamentoResidencialResidencial baixa renda – faixa 01Não se aplicaNão se aplicaFora ponta",Mercado_Receita!$L$2:$L$170)+SUMIF(Mercado_Receita!$S$2:$S$170,"44440B1Convencional pré-pagamentoResidencialResidencial baixa renda – faixa 01Não se aplicaNão se aplicaIntermediário",Mercado_Receita!$L$2:$L$170)+SUMIF(Mercado_Receita!$S$2:$S$170,"44440B1Convencional pré-pagamentoResidencialResidencial baixa renda – faixa 01Não se aplicaNão se aplicaNão se aplica",Mercado_Receita!$L$2:$L$170)</f>
        <v>0</v>
      </c>
      <c r="J23" s="12">
        <f>SUMIF(Mercado_Receita!$S$2:$S$170,"44470B1Convencional pré-pagamentoResidencialResidencial baixa renda – faixa 01Não se aplicaNão se aplicaPonta",Mercado_Receita!$L$2:$L$170)+SUMIF(Mercado_Receita!$S$2:$S$170,"44470B1Convencional pré-pagamentoResidencialResidencial baixa renda – faixa 01Não se aplicaNão se aplicaFora ponta",Mercado_Receita!$L$2:$L$170)+SUMIF(Mercado_Receita!$S$2:$S$170,"44470B1Convencional pré-pagamentoResidencialResidencial baixa renda – faixa 01Não se aplicaNão se aplicaIntermediário",Mercado_Receita!$L$2:$L$170)+SUMIF(Mercado_Receita!$S$2:$S$170,"44470B1Convencional pré-pagamentoResidencialResidencial baixa renda – faixa 01Não se aplicaNão se aplicaNão se aplica",Mercado_Receita!$L$2:$L$170)</f>
        <v>0</v>
      </c>
      <c r="K23" s="12">
        <f>SUMIF(Mercado_Receita!$S$2:$S$170,"44501B1Convencional pré-pagamentoResidencialResidencial baixa renda – faixa 01Não se aplicaNão se aplicaPonta",Mercado_Receita!$L$2:$L$170)+SUMIF(Mercado_Receita!$S$2:$S$170,"44501B1Convencional pré-pagamentoResidencialResidencial baixa renda – faixa 01Não se aplicaNão se aplicaFora ponta",Mercado_Receita!$L$2:$L$170)+SUMIF(Mercado_Receita!$S$2:$S$170,"44501B1Convencional pré-pagamentoResidencialResidencial baixa renda – faixa 01Não se aplicaNão se aplicaIntermediário",Mercado_Receita!$L$2:$L$170)+SUMIF(Mercado_Receita!$S$2:$S$170,"44501B1Convencional pré-pagamentoResidencialResidencial baixa renda – faixa 01Não se aplicaNão se aplicaNão se aplica",Mercado_Receita!$L$2:$L$170)</f>
        <v>0</v>
      </c>
      <c r="L23" s="12">
        <f>SUMIF(Mercado_Receita!$S$2:$S$170,"44531B1Convencional pré-pagamentoResidencialResidencial baixa renda – faixa 01Não se aplicaNão se aplicaPonta",Mercado_Receita!$L$2:$L$170)+SUMIF(Mercado_Receita!$S$2:$S$170,"44531B1Convencional pré-pagamentoResidencialResidencial baixa renda – faixa 01Não se aplicaNão se aplicaFora ponta",Mercado_Receita!$L$2:$L$170)+SUMIF(Mercado_Receita!$S$2:$S$170,"44531B1Convencional pré-pagamentoResidencialResidencial baixa renda – faixa 01Não se aplicaNão se aplicaIntermediário",Mercado_Receita!$L$2:$L$170)+SUMIF(Mercado_Receita!$S$2:$S$170,"44531B1Convencional pré-pagamentoResidencialResidencial baixa renda – faixa 01Não se aplicaNão se aplicaNão se aplica",Mercado_Receita!$L$2:$L$170)</f>
        <v>0</v>
      </c>
      <c r="M23" s="12">
        <f>SUMIF(Mercado_Receita!$S$2:$S$170,"44562B1Convencional pré-pagamentoResidencialResidencial baixa renda – faixa 01Não se aplicaNão se aplicaPonta",Mercado_Receita!$L$2:$L$170)+SUMIF(Mercado_Receita!$S$2:$S$170,"44562B1Convencional pré-pagamentoResidencialResidencial baixa renda – faixa 01Não se aplicaNão se aplicaFora ponta",Mercado_Receita!$L$2:$L$170)+SUMIF(Mercado_Receita!$S$2:$S$170,"44562B1Convencional pré-pagamentoResidencialResidencial baixa renda – faixa 01Não se aplicaNão se aplicaIntermediário",Mercado_Receita!$L$2:$L$170)+SUMIF(Mercado_Receita!$S$2:$S$170,"44562B1Convencional pré-pagamentoResidencialResidencial baixa renda – faixa 01Não se aplicaNão se aplicaNão se aplica",Mercado_Receita!$L$2:$L$170)</f>
        <v>0</v>
      </c>
      <c r="N23" s="12">
        <f>SUMIF(Mercado_Receita!$S$2:$S$170,"44593B1Convencional pré-pagamentoResidencialResidencial baixa renda – faixa 01Não se aplicaNão se aplicaPonta",Mercado_Receita!$L$2:$L$170)+SUMIF(Mercado_Receita!$S$2:$S$170,"44593B1Convencional pré-pagamentoResidencialResidencial baixa renda – faixa 01Não se aplicaNão se aplicaFora ponta",Mercado_Receita!$L$2:$L$170)+SUMIF(Mercado_Receita!$S$2:$S$170,"44593B1Convencional pré-pagamentoResidencialResidencial baixa renda – faixa 01Não se aplicaNão se aplicaIntermediário",Mercado_Receita!$L$2:$L$170)+SUMIF(Mercado_Receita!$S$2:$S$170,"44593B1Convencional pré-pagamentoResidencialResidencial baixa renda – faixa 01Não se aplicaNão se aplicaNão se aplica",Mercado_Receita!$L$2:$L$170)</f>
        <v>0</v>
      </c>
      <c r="O23" s="12">
        <f>SUMIF(Mercado_Receita!$S$2:$S$170,"44621B1Convencional pré-pagamentoResidencialResidencial baixa renda – faixa 01Não se aplicaNão se aplicaPonta",Mercado_Receita!$L$2:$L$170)+SUMIF(Mercado_Receita!$S$2:$S$170,"44621B1Convencional pré-pagamentoResidencialResidencial baixa renda – faixa 01Não se aplicaNão se aplicaFora ponta",Mercado_Receita!$L$2:$L$170)+SUMIF(Mercado_Receita!$S$2:$S$170,"44621B1Convencional pré-pagamentoResidencialResidencial baixa renda – faixa 01Não se aplicaNão se aplicaIntermediário",Mercado_Receita!$L$2:$L$170)+SUMIF(Mercado_Receita!$S$2:$S$170,"44621B1Convencional pré-pagamentoResidencialResidencial baixa renda – faixa 01Não se aplicaNão se aplicaNão se aplica",Mercado_Receita!$L$2:$L$170)</f>
        <v>0</v>
      </c>
      <c r="P23" s="12">
        <f>SUMIF(Mercado_Receita!$S$2:$S$170,"44652B1Convencional pré-pagamentoResidencialResidencial baixa renda – faixa 01Não se aplicaNão se aplicaPonta",Mercado_Receita!$L$2:$L$170)+SUMIF(Mercado_Receita!$S$2:$S$170,"44652B1Convencional pré-pagamentoResidencialResidencial baixa renda – faixa 01Não se aplicaNão se aplicaFora ponta",Mercado_Receita!$L$2:$L$170)+SUMIF(Mercado_Receita!$S$2:$S$170,"44652B1Convencional pré-pagamentoResidencialResidencial baixa renda – faixa 01Não se aplicaNão se aplicaIntermediário",Mercado_Receita!$L$2:$L$170)+SUMIF(Mercado_Receita!$S$2:$S$170,"44652B1Convencional pré-pagamentoResidencialResidencial baixa renda – faixa 01Não se aplicaNão se aplicaNão se aplica",Mercado_Receita!$L$2:$L$170)</f>
        <v>0</v>
      </c>
      <c r="Q23" s="12">
        <f>SUMIF(Mercado_Receita!$S$2:$S$170,"44682B1Convencional pré-pagamentoResidencialResidencial baixa renda – faixa 01Não se aplicaNão se aplicaPonta",Mercado_Receita!$L$2:$L$170)+SUMIF(Mercado_Receita!$S$2:$S$170,"44682B1Convencional pré-pagamentoResidencialResidencial baixa renda – faixa 01Não se aplicaNão se aplicaFora ponta",Mercado_Receita!$L$2:$L$170)+SUMIF(Mercado_Receita!$S$2:$S$170,"44682B1Convencional pré-pagamentoResidencialResidencial baixa renda – faixa 01Não se aplicaNão se aplicaIntermediário",Mercado_Receita!$L$2:$L$170)+SUMIF(Mercado_Receita!$S$2:$S$170,"44682B1Convencional pré-pagamentoResidencialResidencial baixa renda – faixa 01Não se aplicaNão se aplicaNão se aplica",Mercado_Receita!$L$2:$L$170)</f>
        <v>0</v>
      </c>
      <c r="R23" s="12">
        <f>SUMIF(Mercado_Receita!$S$2:$S$170,"44713B1Convencional pré-pagamentoResidencialResidencial baixa renda – faixa 01Não se aplicaNão se aplicaPonta",Mercado_Receita!$L$2:$L$170)+SUMIF(Mercado_Receita!$S$2:$S$170,"44713B1Convencional pré-pagamentoResidencialResidencial baixa renda – faixa 01Não se aplicaNão se aplicaFora ponta",Mercado_Receita!$L$2:$L$170)+SUMIF(Mercado_Receita!$S$2:$S$170,"44713B1Convencional pré-pagamentoResidencialResidencial baixa renda – faixa 01Não se aplicaNão se aplicaIntermediário",Mercado_Receita!$L$2:$L$170)+SUMIF(Mercado_Receita!$S$2:$S$170,"44713B1Convencional pré-pagamentoResidencialResidencial baixa renda – faixa 01Não se aplicaNão se aplicaNão se aplica",Mercado_Receita!$L$2:$L$170)</f>
        <v>0</v>
      </c>
      <c r="S23" s="12">
        <f>SUMIF(Mercado_Receita!$S$2:$S$170,"44743B1Convencional pré-pagamentoResidencialResidencial baixa renda – faixa 01Não se aplicaNão se aplicaPonta",Mercado_Receita!$L$2:$L$170)+SUMIF(Mercado_Receita!$S$2:$S$170,"44743B1Convencional pré-pagamentoResidencialResidencial baixa renda – faixa 01Não se aplicaNão se aplicaFora ponta",Mercado_Receita!$L$2:$L$170)+SUMIF(Mercado_Receita!$S$2:$S$170,"44743B1Convencional pré-pagamentoResidencialResidencial baixa renda – faixa 01Não se aplicaNão se aplicaIntermediário",Mercado_Receita!$L$2:$L$170)+SUMIF(Mercado_Receita!$S$2:$S$170,"44743B1Convencional pré-pagamentoResidencialResidencial baixa renda – faixa 01Não se aplicaNão se aplicaNão se aplica",Mercado_Receita!$L$2:$L$170)</f>
        <v>0</v>
      </c>
      <c r="T23" s="12">
        <f>SUMIF(Mercado_Receita!$S$2:$S$170,"44774B1Convencional pré-pagamentoResidencialResidencial baixa renda – faixa 01Não se aplicaNão se aplicaPonta",Mercado_Receita!$L$2:$L$170)+SUMIF(Mercado_Receita!$S$2:$S$170,"44774B1Convencional pré-pagamentoResidencialResidencial baixa renda – faixa 01Não se aplicaNão se aplicaFora ponta",Mercado_Receita!$L$2:$L$170)+SUMIF(Mercado_Receita!$S$2:$S$170,"44774B1Convencional pré-pagamentoResidencialResidencial baixa renda – faixa 01Não se aplicaNão se aplicaIntermediário",Mercado_Receita!$L$2:$L$170)+SUMIF(Mercado_Receita!$S$2:$S$170,"44774B1Convencional pré-pagamentoResidencialResidencial baixa renda – faixa 01Não se aplicaNão se aplicaNão se aplica",Mercado_Receita!$L$2:$L$170)</f>
        <v>0</v>
      </c>
      <c r="U23" s="12">
        <f t="shared" si="0"/>
        <v>0</v>
      </c>
      <c r="V23" s="12"/>
      <c r="W23" s="12"/>
    </row>
    <row r="24" spans="1:23" ht="11.25" customHeight="1" x14ac:dyDescent="0.25">
      <c r="A24" s="90"/>
      <c r="B24" s="90"/>
      <c r="C24" s="90"/>
      <c r="D24" s="13" t="s">
        <v>28</v>
      </c>
      <c r="E24" s="13" t="s">
        <v>25</v>
      </c>
      <c r="F24" s="13" t="s">
        <v>25</v>
      </c>
      <c r="G24" s="12" t="s">
        <v>69</v>
      </c>
      <c r="H24" s="12" t="s">
        <v>63</v>
      </c>
      <c r="I24" s="12">
        <f>SUMIF(Mercado_Receita!$S$2:$S$170,"44440B1Convencional pré-pagamentoResidencialResidencial baixa renda – faixa 02Não se aplicaNão se aplicaPonta",Mercado_Receita!$L$2:$L$170)+SUMIF(Mercado_Receita!$S$2:$S$170,"44440B1Convencional pré-pagamentoResidencialResidencial baixa renda – faixa 02Não se aplicaNão se aplicaFora ponta",Mercado_Receita!$L$2:$L$170)+SUMIF(Mercado_Receita!$S$2:$S$170,"44440B1Convencional pré-pagamentoResidencialResidencial baixa renda – faixa 02Não se aplicaNão se aplicaIntermediário",Mercado_Receita!$L$2:$L$170)+SUMIF(Mercado_Receita!$S$2:$S$170,"44440B1Convencional pré-pagamentoResidencialResidencial baixa renda – faixa 02Não se aplicaNão se aplicaNão se aplica",Mercado_Receita!$L$2:$L$170)</f>
        <v>0</v>
      </c>
      <c r="J24" s="12">
        <f>SUMIF(Mercado_Receita!$S$2:$S$170,"44470B1Convencional pré-pagamentoResidencialResidencial baixa renda – faixa 02Não se aplicaNão se aplicaPonta",Mercado_Receita!$L$2:$L$170)+SUMIF(Mercado_Receita!$S$2:$S$170,"44470B1Convencional pré-pagamentoResidencialResidencial baixa renda – faixa 02Não se aplicaNão se aplicaFora ponta",Mercado_Receita!$L$2:$L$170)+SUMIF(Mercado_Receita!$S$2:$S$170,"44470B1Convencional pré-pagamentoResidencialResidencial baixa renda – faixa 02Não se aplicaNão se aplicaIntermediário",Mercado_Receita!$L$2:$L$170)+SUMIF(Mercado_Receita!$S$2:$S$170,"44470B1Convencional pré-pagamentoResidencialResidencial baixa renda – faixa 02Não se aplicaNão se aplicaNão se aplica",Mercado_Receita!$L$2:$L$170)</f>
        <v>0</v>
      </c>
      <c r="K24" s="12">
        <f>SUMIF(Mercado_Receita!$S$2:$S$170,"44501B1Convencional pré-pagamentoResidencialResidencial baixa renda – faixa 02Não se aplicaNão se aplicaPonta",Mercado_Receita!$L$2:$L$170)+SUMIF(Mercado_Receita!$S$2:$S$170,"44501B1Convencional pré-pagamentoResidencialResidencial baixa renda – faixa 02Não se aplicaNão se aplicaFora ponta",Mercado_Receita!$L$2:$L$170)+SUMIF(Mercado_Receita!$S$2:$S$170,"44501B1Convencional pré-pagamentoResidencialResidencial baixa renda – faixa 02Não se aplicaNão se aplicaIntermediário",Mercado_Receita!$L$2:$L$170)+SUMIF(Mercado_Receita!$S$2:$S$170,"44501B1Convencional pré-pagamentoResidencialResidencial baixa renda – faixa 02Não se aplicaNão se aplicaNão se aplica",Mercado_Receita!$L$2:$L$170)</f>
        <v>0</v>
      </c>
      <c r="L24" s="12">
        <f>SUMIF(Mercado_Receita!$S$2:$S$170,"44531B1Convencional pré-pagamentoResidencialResidencial baixa renda – faixa 02Não se aplicaNão se aplicaPonta",Mercado_Receita!$L$2:$L$170)+SUMIF(Mercado_Receita!$S$2:$S$170,"44531B1Convencional pré-pagamentoResidencialResidencial baixa renda – faixa 02Não se aplicaNão se aplicaFora ponta",Mercado_Receita!$L$2:$L$170)+SUMIF(Mercado_Receita!$S$2:$S$170,"44531B1Convencional pré-pagamentoResidencialResidencial baixa renda – faixa 02Não se aplicaNão se aplicaIntermediário",Mercado_Receita!$L$2:$L$170)+SUMIF(Mercado_Receita!$S$2:$S$170,"44531B1Convencional pré-pagamentoResidencialResidencial baixa renda – faixa 02Não se aplicaNão se aplicaNão se aplica",Mercado_Receita!$L$2:$L$170)</f>
        <v>0</v>
      </c>
      <c r="M24" s="12">
        <f>SUMIF(Mercado_Receita!$S$2:$S$170,"44562B1Convencional pré-pagamentoResidencialResidencial baixa renda – faixa 02Não se aplicaNão se aplicaPonta",Mercado_Receita!$L$2:$L$170)+SUMIF(Mercado_Receita!$S$2:$S$170,"44562B1Convencional pré-pagamentoResidencialResidencial baixa renda – faixa 02Não se aplicaNão se aplicaFora ponta",Mercado_Receita!$L$2:$L$170)+SUMIF(Mercado_Receita!$S$2:$S$170,"44562B1Convencional pré-pagamentoResidencialResidencial baixa renda – faixa 02Não se aplicaNão se aplicaIntermediário",Mercado_Receita!$L$2:$L$170)+SUMIF(Mercado_Receita!$S$2:$S$170,"44562B1Convencional pré-pagamentoResidencialResidencial baixa renda – faixa 02Não se aplicaNão se aplicaNão se aplica",Mercado_Receita!$L$2:$L$170)</f>
        <v>0</v>
      </c>
      <c r="N24" s="12">
        <f>SUMIF(Mercado_Receita!$S$2:$S$170,"44593B1Convencional pré-pagamentoResidencialResidencial baixa renda – faixa 02Não se aplicaNão se aplicaPonta",Mercado_Receita!$L$2:$L$170)+SUMIF(Mercado_Receita!$S$2:$S$170,"44593B1Convencional pré-pagamentoResidencialResidencial baixa renda – faixa 02Não se aplicaNão se aplicaFora ponta",Mercado_Receita!$L$2:$L$170)+SUMIF(Mercado_Receita!$S$2:$S$170,"44593B1Convencional pré-pagamentoResidencialResidencial baixa renda – faixa 02Não se aplicaNão se aplicaIntermediário",Mercado_Receita!$L$2:$L$170)+SUMIF(Mercado_Receita!$S$2:$S$170,"44593B1Convencional pré-pagamentoResidencialResidencial baixa renda – faixa 02Não se aplicaNão se aplicaNão se aplica",Mercado_Receita!$L$2:$L$170)</f>
        <v>0</v>
      </c>
      <c r="O24" s="12">
        <f>SUMIF(Mercado_Receita!$S$2:$S$170,"44621B1Convencional pré-pagamentoResidencialResidencial baixa renda – faixa 02Não se aplicaNão se aplicaPonta",Mercado_Receita!$L$2:$L$170)+SUMIF(Mercado_Receita!$S$2:$S$170,"44621B1Convencional pré-pagamentoResidencialResidencial baixa renda – faixa 02Não se aplicaNão se aplicaFora ponta",Mercado_Receita!$L$2:$L$170)+SUMIF(Mercado_Receita!$S$2:$S$170,"44621B1Convencional pré-pagamentoResidencialResidencial baixa renda – faixa 02Não se aplicaNão se aplicaIntermediário",Mercado_Receita!$L$2:$L$170)+SUMIF(Mercado_Receita!$S$2:$S$170,"44621B1Convencional pré-pagamentoResidencialResidencial baixa renda – faixa 02Não se aplicaNão se aplicaNão se aplica",Mercado_Receita!$L$2:$L$170)</f>
        <v>0</v>
      </c>
      <c r="P24" s="12">
        <f>SUMIF(Mercado_Receita!$S$2:$S$170,"44652B1Convencional pré-pagamentoResidencialResidencial baixa renda – faixa 02Não se aplicaNão se aplicaPonta",Mercado_Receita!$L$2:$L$170)+SUMIF(Mercado_Receita!$S$2:$S$170,"44652B1Convencional pré-pagamentoResidencialResidencial baixa renda – faixa 02Não se aplicaNão se aplicaFora ponta",Mercado_Receita!$L$2:$L$170)+SUMIF(Mercado_Receita!$S$2:$S$170,"44652B1Convencional pré-pagamentoResidencialResidencial baixa renda – faixa 02Não se aplicaNão se aplicaIntermediário",Mercado_Receita!$L$2:$L$170)+SUMIF(Mercado_Receita!$S$2:$S$170,"44652B1Convencional pré-pagamentoResidencialResidencial baixa renda – faixa 02Não se aplicaNão se aplicaNão se aplica",Mercado_Receita!$L$2:$L$170)</f>
        <v>0</v>
      </c>
      <c r="Q24" s="12">
        <f>SUMIF(Mercado_Receita!$S$2:$S$170,"44682B1Convencional pré-pagamentoResidencialResidencial baixa renda – faixa 02Não se aplicaNão se aplicaPonta",Mercado_Receita!$L$2:$L$170)+SUMIF(Mercado_Receita!$S$2:$S$170,"44682B1Convencional pré-pagamentoResidencialResidencial baixa renda – faixa 02Não se aplicaNão se aplicaFora ponta",Mercado_Receita!$L$2:$L$170)+SUMIF(Mercado_Receita!$S$2:$S$170,"44682B1Convencional pré-pagamentoResidencialResidencial baixa renda – faixa 02Não se aplicaNão se aplicaIntermediário",Mercado_Receita!$L$2:$L$170)+SUMIF(Mercado_Receita!$S$2:$S$170,"44682B1Convencional pré-pagamentoResidencialResidencial baixa renda – faixa 02Não se aplicaNão se aplicaNão se aplica",Mercado_Receita!$L$2:$L$170)</f>
        <v>0</v>
      </c>
      <c r="R24" s="12">
        <f>SUMIF(Mercado_Receita!$S$2:$S$170,"44713B1Convencional pré-pagamentoResidencialResidencial baixa renda – faixa 02Não se aplicaNão se aplicaPonta",Mercado_Receita!$L$2:$L$170)+SUMIF(Mercado_Receita!$S$2:$S$170,"44713B1Convencional pré-pagamentoResidencialResidencial baixa renda – faixa 02Não se aplicaNão se aplicaFora ponta",Mercado_Receita!$L$2:$L$170)+SUMIF(Mercado_Receita!$S$2:$S$170,"44713B1Convencional pré-pagamentoResidencialResidencial baixa renda – faixa 02Não se aplicaNão se aplicaIntermediário",Mercado_Receita!$L$2:$L$170)+SUMIF(Mercado_Receita!$S$2:$S$170,"44713B1Convencional pré-pagamentoResidencialResidencial baixa renda – faixa 02Não se aplicaNão se aplicaNão se aplica",Mercado_Receita!$L$2:$L$170)</f>
        <v>0</v>
      </c>
      <c r="S24" s="12">
        <f>SUMIF(Mercado_Receita!$S$2:$S$170,"44743B1Convencional pré-pagamentoResidencialResidencial baixa renda – faixa 02Não se aplicaNão se aplicaPonta",Mercado_Receita!$L$2:$L$170)+SUMIF(Mercado_Receita!$S$2:$S$170,"44743B1Convencional pré-pagamentoResidencialResidencial baixa renda – faixa 02Não se aplicaNão se aplicaFora ponta",Mercado_Receita!$L$2:$L$170)+SUMIF(Mercado_Receita!$S$2:$S$170,"44743B1Convencional pré-pagamentoResidencialResidencial baixa renda – faixa 02Não se aplicaNão se aplicaIntermediário",Mercado_Receita!$L$2:$L$170)+SUMIF(Mercado_Receita!$S$2:$S$170,"44743B1Convencional pré-pagamentoResidencialResidencial baixa renda – faixa 02Não se aplicaNão se aplicaNão se aplica",Mercado_Receita!$L$2:$L$170)</f>
        <v>0</v>
      </c>
      <c r="T24" s="12">
        <f>SUMIF(Mercado_Receita!$S$2:$S$170,"44774B1Convencional pré-pagamentoResidencialResidencial baixa renda – faixa 02Não se aplicaNão se aplicaPonta",Mercado_Receita!$L$2:$L$170)+SUMIF(Mercado_Receita!$S$2:$S$170,"44774B1Convencional pré-pagamentoResidencialResidencial baixa renda – faixa 02Não se aplicaNão se aplicaFora ponta",Mercado_Receita!$L$2:$L$170)+SUMIF(Mercado_Receita!$S$2:$S$170,"44774B1Convencional pré-pagamentoResidencialResidencial baixa renda – faixa 02Não se aplicaNão se aplicaIntermediário",Mercado_Receita!$L$2:$L$170)+SUMIF(Mercado_Receita!$S$2:$S$170,"44774B1Convencional pré-pagamentoResidencialResidencial baixa renda – faixa 02Não se aplicaNão se aplicaNão se aplica",Mercado_Receita!$L$2:$L$170)</f>
        <v>0</v>
      </c>
      <c r="U24" s="12">
        <f t="shared" si="0"/>
        <v>0</v>
      </c>
      <c r="V24" s="12"/>
      <c r="W24" s="12"/>
    </row>
    <row r="25" spans="1:23" ht="11.25" customHeight="1" x14ac:dyDescent="0.25">
      <c r="A25" s="90"/>
      <c r="B25" s="90"/>
      <c r="C25" s="90"/>
      <c r="D25" s="13" t="s">
        <v>29</v>
      </c>
      <c r="E25" s="13" t="s">
        <v>25</v>
      </c>
      <c r="F25" s="13" t="s">
        <v>25</v>
      </c>
      <c r="G25" s="12" t="s">
        <v>69</v>
      </c>
      <c r="H25" s="12" t="s">
        <v>63</v>
      </c>
      <c r="I25" s="12">
        <f>SUMIF(Mercado_Receita!$S$2:$S$170,"44440B1Convencional pré-pagamentoResidencialResidencial baixa renda – faixa 03Não se aplicaNão se aplicaPonta",Mercado_Receita!$L$2:$L$170)+SUMIF(Mercado_Receita!$S$2:$S$170,"44440B1Convencional pré-pagamentoResidencialResidencial baixa renda – faixa 03Não se aplicaNão se aplicaFora ponta",Mercado_Receita!$L$2:$L$170)+SUMIF(Mercado_Receita!$S$2:$S$170,"44440B1Convencional pré-pagamentoResidencialResidencial baixa renda – faixa 03Não se aplicaNão se aplicaIntermediário",Mercado_Receita!$L$2:$L$170)+SUMIF(Mercado_Receita!$S$2:$S$170,"44440B1Convencional pré-pagamentoResidencialResidencial baixa renda – faixa 03Não se aplicaNão se aplicaNão se aplica",Mercado_Receita!$L$2:$L$170)</f>
        <v>0</v>
      </c>
      <c r="J25" s="12">
        <f>SUMIF(Mercado_Receita!$S$2:$S$170,"44470B1Convencional pré-pagamentoResidencialResidencial baixa renda – faixa 03Não se aplicaNão se aplicaPonta",Mercado_Receita!$L$2:$L$170)+SUMIF(Mercado_Receita!$S$2:$S$170,"44470B1Convencional pré-pagamentoResidencialResidencial baixa renda – faixa 03Não se aplicaNão se aplicaFora ponta",Mercado_Receita!$L$2:$L$170)+SUMIF(Mercado_Receita!$S$2:$S$170,"44470B1Convencional pré-pagamentoResidencialResidencial baixa renda – faixa 03Não se aplicaNão se aplicaIntermediário",Mercado_Receita!$L$2:$L$170)+SUMIF(Mercado_Receita!$S$2:$S$170,"44470B1Convencional pré-pagamentoResidencialResidencial baixa renda – faixa 03Não se aplicaNão se aplicaNão se aplica",Mercado_Receita!$L$2:$L$170)</f>
        <v>0</v>
      </c>
      <c r="K25" s="12">
        <f>SUMIF(Mercado_Receita!$S$2:$S$170,"44501B1Convencional pré-pagamentoResidencialResidencial baixa renda – faixa 03Não se aplicaNão se aplicaPonta",Mercado_Receita!$L$2:$L$170)+SUMIF(Mercado_Receita!$S$2:$S$170,"44501B1Convencional pré-pagamentoResidencialResidencial baixa renda – faixa 03Não se aplicaNão se aplicaFora ponta",Mercado_Receita!$L$2:$L$170)+SUMIF(Mercado_Receita!$S$2:$S$170,"44501B1Convencional pré-pagamentoResidencialResidencial baixa renda – faixa 03Não se aplicaNão se aplicaIntermediário",Mercado_Receita!$L$2:$L$170)+SUMIF(Mercado_Receita!$S$2:$S$170,"44501B1Convencional pré-pagamentoResidencialResidencial baixa renda – faixa 03Não se aplicaNão se aplicaNão se aplica",Mercado_Receita!$L$2:$L$170)</f>
        <v>0</v>
      </c>
      <c r="L25" s="12">
        <f>SUMIF(Mercado_Receita!$S$2:$S$170,"44531B1Convencional pré-pagamentoResidencialResidencial baixa renda – faixa 03Não se aplicaNão se aplicaPonta",Mercado_Receita!$L$2:$L$170)+SUMIF(Mercado_Receita!$S$2:$S$170,"44531B1Convencional pré-pagamentoResidencialResidencial baixa renda – faixa 03Não se aplicaNão se aplicaFora ponta",Mercado_Receita!$L$2:$L$170)+SUMIF(Mercado_Receita!$S$2:$S$170,"44531B1Convencional pré-pagamentoResidencialResidencial baixa renda – faixa 03Não se aplicaNão se aplicaIntermediário",Mercado_Receita!$L$2:$L$170)+SUMIF(Mercado_Receita!$S$2:$S$170,"44531B1Convencional pré-pagamentoResidencialResidencial baixa renda – faixa 03Não se aplicaNão se aplicaNão se aplica",Mercado_Receita!$L$2:$L$170)</f>
        <v>0</v>
      </c>
      <c r="M25" s="12">
        <f>SUMIF(Mercado_Receita!$S$2:$S$170,"44562B1Convencional pré-pagamentoResidencialResidencial baixa renda – faixa 03Não se aplicaNão se aplicaPonta",Mercado_Receita!$L$2:$L$170)+SUMIF(Mercado_Receita!$S$2:$S$170,"44562B1Convencional pré-pagamentoResidencialResidencial baixa renda – faixa 03Não se aplicaNão se aplicaFora ponta",Mercado_Receita!$L$2:$L$170)+SUMIF(Mercado_Receita!$S$2:$S$170,"44562B1Convencional pré-pagamentoResidencialResidencial baixa renda – faixa 03Não se aplicaNão se aplicaIntermediário",Mercado_Receita!$L$2:$L$170)+SUMIF(Mercado_Receita!$S$2:$S$170,"44562B1Convencional pré-pagamentoResidencialResidencial baixa renda – faixa 03Não se aplicaNão se aplicaNão se aplica",Mercado_Receita!$L$2:$L$170)</f>
        <v>0</v>
      </c>
      <c r="N25" s="12">
        <f>SUMIF(Mercado_Receita!$S$2:$S$170,"44593B1Convencional pré-pagamentoResidencialResidencial baixa renda – faixa 03Não se aplicaNão se aplicaPonta",Mercado_Receita!$L$2:$L$170)+SUMIF(Mercado_Receita!$S$2:$S$170,"44593B1Convencional pré-pagamentoResidencialResidencial baixa renda – faixa 03Não se aplicaNão se aplicaFora ponta",Mercado_Receita!$L$2:$L$170)+SUMIF(Mercado_Receita!$S$2:$S$170,"44593B1Convencional pré-pagamentoResidencialResidencial baixa renda – faixa 03Não se aplicaNão se aplicaIntermediário",Mercado_Receita!$L$2:$L$170)+SUMIF(Mercado_Receita!$S$2:$S$170,"44593B1Convencional pré-pagamentoResidencialResidencial baixa renda – faixa 03Não se aplicaNão se aplicaNão se aplica",Mercado_Receita!$L$2:$L$170)</f>
        <v>0</v>
      </c>
      <c r="O25" s="12">
        <f>SUMIF(Mercado_Receita!$S$2:$S$170,"44621B1Convencional pré-pagamentoResidencialResidencial baixa renda – faixa 03Não se aplicaNão se aplicaPonta",Mercado_Receita!$L$2:$L$170)+SUMIF(Mercado_Receita!$S$2:$S$170,"44621B1Convencional pré-pagamentoResidencialResidencial baixa renda – faixa 03Não se aplicaNão se aplicaFora ponta",Mercado_Receita!$L$2:$L$170)+SUMIF(Mercado_Receita!$S$2:$S$170,"44621B1Convencional pré-pagamentoResidencialResidencial baixa renda – faixa 03Não se aplicaNão se aplicaIntermediário",Mercado_Receita!$L$2:$L$170)+SUMIF(Mercado_Receita!$S$2:$S$170,"44621B1Convencional pré-pagamentoResidencialResidencial baixa renda – faixa 03Não se aplicaNão se aplicaNão se aplica",Mercado_Receita!$L$2:$L$170)</f>
        <v>0</v>
      </c>
      <c r="P25" s="12">
        <f>SUMIF(Mercado_Receita!$S$2:$S$170,"44652B1Convencional pré-pagamentoResidencialResidencial baixa renda – faixa 03Não se aplicaNão se aplicaPonta",Mercado_Receita!$L$2:$L$170)+SUMIF(Mercado_Receita!$S$2:$S$170,"44652B1Convencional pré-pagamentoResidencialResidencial baixa renda – faixa 03Não se aplicaNão se aplicaFora ponta",Mercado_Receita!$L$2:$L$170)+SUMIF(Mercado_Receita!$S$2:$S$170,"44652B1Convencional pré-pagamentoResidencialResidencial baixa renda – faixa 03Não se aplicaNão se aplicaIntermediário",Mercado_Receita!$L$2:$L$170)+SUMIF(Mercado_Receita!$S$2:$S$170,"44652B1Convencional pré-pagamentoResidencialResidencial baixa renda – faixa 03Não se aplicaNão se aplicaNão se aplica",Mercado_Receita!$L$2:$L$170)</f>
        <v>0</v>
      </c>
      <c r="Q25" s="12">
        <f>SUMIF(Mercado_Receita!$S$2:$S$170,"44682B1Convencional pré-pagamentoResidencialResidencial baixa renda – faixa 03Não se aplicaNão se aplicaPonta",Mercado_Receita!$L$2:$L$170)+SUMIF(Mercado_Receita!$S$2:$S$170,"44682B1Convencional pré-pagamentoResidencialResidencial baixa renda – faixa 03Não se aplicaNão se aplicaFora ponta",Mercado_Receita!$L$2:$L$170)+SUMIF(Mercado_Receita!$S$2:$S$170,"44682B1Convencional pré-pagamentoResidencialResidencial baixa renda – faixa 03Não se aplicaNão se aplicaIntermediário",Mercado_Receita!$L$2:$L$170)+SUMIF(Mercado_Receita!$S$2:$S$170,"44682B1Convencional pré-pagamentoResidencialResidencial baixa renda – faixa 03Não se aplicaNão se aplicaNão se aplica",Mercado_Receita!$L$2:$L$170)</f>
        <v>0</v>
      </c>
      <c r="R25" s="12">
        <f>SUMIF(Mercado_Receita!$S$2:$S$170,"44713B1Convencional pré-pagamentoResidencialResidencial baixa renda – faixa 03Não se aplicaNão se aplicaPonta",Mercado_Receita!$L$2:$L$170)+SUMIF(Mercado_Receita!$S$2:$S$170,"44713B1Convencional pré-pagamentoResidencialResidencial baixa renda – faixa 03Não se aplicaNão se aplicaFora ponta",Mercado_Receita!$L$2:$L$170)+SUMIF(Mercado_Receita!$S$2:$S$170,"44713B1Convencional pré-pagamentoResidencialResidencial baixa renda – faixa 03Não se aplicaNão se aplicaIntermediário",Mercado_Receita!$L$2:$L$170)+SUMIF(Mercado_Receita!$S$2:$S$170,"44713B1Convencional pré-pagamentoResidencialResidencial baixa renda – faixa 03Não se aplicaNão se aplicaNão se aplica",Mercado_Receita!$L$2:$L$170)</f>
        <v>0</v>
      </c>
      <c r="S25" s="12">
        <f>SUMIF(Mercado_Receita!$S$2:$S$170,"44743B1Convencional pré-pagamentoResidencialResidencial baixa renda – faixa 03Não se aplicaNão se aplicaPonta",Mercado_Receita!$L$2:$L$170)+SUMIF(Mercado_Receita!$S$2:$S$170,"44743B1Convencional pré-pagamentoResidencialResidencial baixa renda – faixa 03Não se aplicaNão se aplicaFora ponta",Mercado_Receita!$L$2:$L$170)+SUMIF(Mercado_Receita!$S$2:$S$170,"44743B1Convencional pré-pagamentoResidencialResidencial baixa renda – faixa 03Não se aplicaNão se aplicaIntermediário",Mercado_Receita!$L$2:$L$170)+SUMIF(Mercado_Receita!$S$2:$S$170,"44743B1Convencional pré-pagamentoResidencialResidencial baixa renda – faixa 03Não se aplicaNão se aplicaNão se aplica",Mercado_Receita!$L$2:$L$170)</f>
        <v>0</v>
      </c>
      <c r="T25" s="12">
        <f>SUMIF(Mercado_Receita!$S$2:$S$170,"44774B1Convencional pré-pagamentoResidencialResidencial baixa renda – faixa 03Não se aplicaNão se aplicaPonta",Mercado_Receita!$L$2:$L$170)+SUMIF(Mercado_Receita!$S$2:$S$170,"44774B1Convencional pré-pagamentoResidencialResidencial baixa renda – faixa 03Não se aplicaNão se aplicaFora ponta",Mercado_Receita!$L$2:$L$170)+SUMIF(Mercado_Receita!$S$2:$S$170,"44774B1Convencional pré-pagamentoResidencialResidencial baixa renda – faixa 03Não se aplicaNão se aplicaIntermediário",Mercado_Receita!$L$2:$L$170)+SUMIF(Mercado_Receita!$S$2:$S$170,"44774B1Convencional pré-pagamentoResidencialResidencial baixa renda – faixa 03Não se aplicaNão se aplicaNão se aplica",Mercado_Receita!$L$2:$L$170)</f>
        <v>0</v>
      </c>
      <c r="U25" s="12">
        <f t="shared" si="0"/>
        <v>0</v>
      </c>
      <c r="V25" s="12"/>
      <c r="W25" s="12"/>
    </row>
    <row r="26" spans="1:23" ht="11.25" customHeight="1" x14ac:dyDescent="0.25">
      <c r="A26" s="90"/>
      <c r="B26" s="90"/>
      <c r="C26" s="90"/>
      <c r="D26" s="13" t="s">
        <v>30</v>
      </c>
      <c r="E26" s="13" t="s">
        <v>25</v>
      </c>
      <c r="F26" s="13" t="s">
        <v>25</v>
      </c>
      <c r="G26" s="12" t="s">
        <v>69</v>
      </c>
      <c r="H26" s="12" t="s">
        <v>63</v>
      </c>
      <c r="I26" s="12">
        <f>SUMIF(Mercado_Receita!$S$2:$S$170,"44440B1Convencional pré-pagamentoResidencialResidencial baixa renda – faixa 04Não se aplicaNão se aplicaPonta",Mercado_Receita!$L$2:$L$170)+SUMIF(Mercado_Receita!$S$2:$S$170,"44440B1Convencional pré-pagamentoResidencialResidencial baixa renda – faixa 04Não se aplicaNão se aplicaFora ponta",Mercado_Receita!$L$2:$L$170)+SUMIF(Mercado_Receita!$S$2:$S$170,"44440B1Convencional pré-pagamentoResidencialResidencial baixa renda – faixa 04Não se aplicaNão se aplicaIntermediário",Mercado_Receita!$L$2:$L$170)+SUMIF(Mercado_Receita!$S$2:$S$170,"44440B1Convencional pré-pagamentoResidencialResidencial baixa renda – faixa 04Não se aplicaNão se aplicaNão se aplica",Mercado_Receita!$L$2:$L$170)</f>
        <v>0</v>
      </c>
      <c r="J26" s="12">
        <f>SUMIF(Mercado_Receita!$S$2:$S$170,"44470B1Convencional pré-pagamentoResidencialResidencial baixa renda – faixa 04Não se aplicaNão se aplicaPonta",Mercado_Receita!$L$2:$L$170)+SUMIF(Mercado_Receita!$S$2:$S$170,"44470B1Convencional pré-pagamentoResidencialResidencial baixa renda – faixa 04Não se aplicaNão se aplicaFora ponta",Mercado_Receita!$L$2:$L$170)+SUMIF(Mercado_Receita!$S$2:$S$170,"44470B1Convencional pré-pagamentoResidencialResidencial baixa renda – faixa 04Não se aplicaNão se aplicaIntermediário",Mercado_Receita!$L$2:$L$170)+SUMIF(Mercado_Receita!$S$2:$S$170,"44470B1Convencional pré-pagamentoResidencialResidencial baixa renda – faixa 04Não se aplicaNão se aplicaNão se aplica",Mercado_Receita!$L$2:$L$170)</f>
        <v>0</v>
      </c>
      <c r="K26" s="12">
        <f>SUMIF(Mercado_Receita!$S$2:$S$170,"44501B1Convencional pré-pagamentoResidencialResidencial baixa renda – faixa 04Não se aplicaNão se aplicaPonta",Mercado_Receita!$L$2:$L$170)+SUMIF(Mercado_Receita!$S$2:$S$170,"44501B1Convencional pré-pagamentoResidencialResidencial baixa renda – faixa 04Não se aplicaNão se aplicaFora ponta",Mercado_Receita!$L$2:$L$170)+SUMIF(Mercado_Receita!$S$2:$S$170,"44501B1Convencional pré-pagamentoResidencialResidencial baixa renda – faixa 04Não se aplicaNão se aplicaIntermediário",Mercado_Receita!$L$2:$L$170)+SUMIF(Mercado_Receita!$S$2:$S$170,"44501B1Convencional pré-pagamentoResidencialResidencial baixa renda – faixa 04Não se aplicaNão se aplicaNão se aplica",Mercado_Receita!$L$2:$L$170)</f>
        <v>0</v>
      </c>
      <c r="L26" s="12">
        <f>SUMIF(Mercado_Receita!$S$2:$S$170,"44531B1Convencional pré-pagamentoResidencialResidencial baixa renda – faixa 04Não se aplicaNão se aplicaPonta",Mercado_Receita!$L$2:$L$170)+SUMIF(Mercado_Receita!$S$2:$S$170,"44531B1Convencional pré-pagamentoResidencialResidencial baixa renda – faixa 04Não se aplicaNão se aplicaFora ponta",Mercado_Receita!$L$2:$L$170)+SUMIF(Mercado_Receita!$S$2:$S$170,"44531B1Convencional pré-pagamentoResidencialResidencial baixa renda – faixa 04Não se aplicaNão se aplicaIntermediário",Mercado_Receita!$L$2:$L$170)+SUMIF(Mercado_Receita!$S$2:$S$170,"44531B1Convencional pré-pagamentoResidencialResidencial baixa renda – faixa 04Não se aplicaNão se aplicaNão se aplica",Mercado_Receita!$L$2:$L$170)</f>
        <v>0</v>
      </c>
      <c r="M26" s="12">
        <f>SUMIF(Mercado_Receita!$S$2:$S$170,"44562B1Convencional pré-pagamentoResidencialResidencial baixa renda – faixa 04Não se aplicaNão se aplicaPonta",Mercado_Receita!$L$2:$L$170)+SUMIF(Mercado_Receita!$S$2:$S$170,"44562B1Convencional pré-pagamentoResidencialResidencial baixa renda – faixa 04Não se aplicaNão se aplicaFora ponta",Mercado_Receita!$L$2:$L$170)+SUMIF(Mercado_Receita!$S$2:$S$170,"44562B1Convencional pré-pagamentoResidencialResidencial baixa renda – faixa 04Não se aplicaNão se aplicaIntermediário",Mercado_Receita!$L$2:$L$170)+SUMIF(Mercado_Receita!$S$2:$S$170,"44562B1Convencional pré-pagamentoResidencialResidencial baixa renda – faixa 04Não se aplicaNão se aplicaNão se aplica",Mercado_Receita!$L$2:$L$170)</f>
        <v>0</v>
      </c>
      <c r="N26" s="12">
        <f>SUMIF(Mercado_Receita!$S$2:$S$170,"44593B1Convencional pré-pagamentoResidencialResidencial baixa renda – faixa 04Não se aplicaNão se aplicaPonta",Mercado_Receita!$L$2:$L$170)+SUMIF(Mercado_Receita!$S$2:$S$170,"44593B1Convencional pré-pagamentoResidencialResidencial baixa renda – faixa 04Não se aplicaNão se aplicaFora ponta",Mercado_Receita!$L$2:$L$170)+SUMIF(Mercado_Receita!$S$2:$S$170,"44593B1Convencional pré-pagamentoResidencialResidencial baixa renda – faixa 04Não se aplicaNão se aplicaIntermediário",Mercado_Receita!$L$2:$L$170)+SUMIF(Mercado_Receita!$S$2:$S$170,"44593B1Convencional pré-pagamentoResidencialResidencial baixa renda – faixa 04Não se aplicaNão se aplicaNão se aplica",Mercado_Receita!$L$2:$L$170)</f>
        <v>0</v>
      </c>
      <c r="O26" s="12">
        <f>SUMIF(Mercado_Receita!$S$2:$S$170,"44621B1Convencional pré-pagamentoResidencialResidencial baixa renda – faixa 04Não se aplicaNão se aplicaPonta",Mercado_Receita!$L$2:$L$170)+SUMIF(Mercado_Receita!$S$2:$S$170,"44621B1Convencional pré-pagamentoResidencialResidencial baixa renda – faixa 04Não se aplicaNão se aplicaFora ponta",Mercado_Receita!$L$2:$L$170)+SUMIF(Mercado_Receita!$S$2:$S$170,"44621B1Convencional pré-pagamentoResidencialResidencial baixa renda – faixa 04Não se aplicaNão se aplicaIntermediário",Mercado_Receita!$L$2:$L$170)+SUMIF(Mercado_Receita!$S$2:$S$170,"44621B1Convencional pré-pagamentoResidencialResidencial baixa renda – faixa 04Não se aplicaNão se aplicaNão se aplica",Mercado_Receita!$L$2:$L$170)</f>
        <v>0</v>
      </c>
      <c r="P26" s="12">
        <f>SUMIF(Mercado_Receita!$S$2:$S$170,"44652B1Convencional pré-pagamentoResidencialResidencial baixa renda – faixa 04Não se aplicaNão se aplicaPonta",Mercado_Receita!$L$2:$L$170)+SUMIF(Mercado_Receita!$S$2:$S$170,"44652B1Convencional pré-pagamentoResidencialResidencial baixa renda – faixa 04Não se aplicaNão se aplicaFora ponta",Mercado_Receita!$L$2:$L$170)+SUMIF(Mercado_Receita!$S$2:$S$170,"44652B1Convencional pré-pagamentoResidencialResidencial baixa renda – faixa 04Não se aplicaNão se aplicaIntermediário",Mercado_Receita!$L$2:$L$170)+SUMIF(Mercado_Receita!$S$2:$S$170,"44652B1Convencional pré-pagamentoResidencialResidencial baixa renda – faixa 04Não se aplicaNão se aplicaNão se aplica",Mercado_Receita!$L$2:$L$170)</f>
        <v>0</v>
      </c>
      <c r="Q26" s="12">
        <f>SUMIF(Mercado_Receita!$S$2:$S$170,"44682B1Convencional pré-pagamentoResidencialResidencial baixa renda – faixa 04Não se aplicaNão se aplicaPonta",Mercado_Receita!$L$2:$L$170)+SUMIF(Mercado_Receita!$S$2:$S$170,"44682B1Convencional pré-pagamentoResidencialResidencial baixa renda – faixa 04Não se aplicaNão se aplicaFora ponta",Mercado_Receita!$L$2:$L$170)+SUMIF(Mercado_Receita!$S$2:$S$170,"44682B1Convencional pré-pagamentoResidencialResidencial baixa renda – faixa 04Não se aplicaNão se aplicaIntermediário",Mercado_Receita!$L$2:$L$170)+SUMIF(Mercado_Receita!$S$2:$S$170,"44682B1Convencional pré-pagamentoResidencialResidencial baixa renda – faixa 04Não se aplicaNão se aplicaNão se aplica",Mercado_Receita!$L$2:$L$170)</f>
        <v>0</v>
      </c>
      <c r="R26" s="12">
        <f>SUMIF(Mercado_Receita!$S$2:$S$170,"44713B1Convencional pré-pagamentoResidencialResidencial baixa renda – faixa 04Não se aplicaNão se aplicaPonta",Mercado_Receita!$L$2:$L$170)+SUMIF(Mercado_Receita!$S$2:$S$170,"44713B1Convencional pré-pagamentoResidencialResidencial baixa renda – faixa 04Não se aplicaNão se aplicaFora ponta",Mercado_Receita!$L$2:$L$170)+SUMIF(Mercado_Receita!$S$2:$S$170,"44713B1Convencional pré-pagamentoResidencialResidencial baixa renda – faixa 04Não se aplicaNão se aplicaIntermediário",Mercado_Receita!$L$2:$L$170)+SUMIF(Mercado_Receita!$S$2:$S$170,"44713B1Convencional pré-pagamentoResidencialResidencial baixa renda – faixa 04Não se aplicaNão se aplicaNão se aplica",Mercado_Receita!$L$2:$L$170)</f>
        <v>0</v>
      </c>
      <c r="S26" s="12">
        <f>SUMIF(Mercado_Receita!$S$2:$S$170,"44743B1Convencional pré-pagamentoResidencialResidencial baixa renda – faixa 04Não se aplicaNão se aplicaPonta",Mercado_Receita!$L$2:$L$170)+SUMIF(Mercado_Receita!$S$2:$S$170,"44743B1Convencional pré-pagamentoResidencialResidencial baixa renda – faixa 04Não se aplicaNão se aplicaFora ponta",Mercado_Receita!$L$2:$L$170)+SUMIF(Mercado_Receita!$S$2:$S$170,"44743B1Convencional pré-pagamentoResidencialResidencial baixa renda – faixa 04Não se aplicaNão se aplicaIntermediário",Mercado_Receita!$L$2:$L$170)+SUMIF(Mercado_Receita!$S$2:$S$170,"44743B1Convencional pré-pagamentoResidencialResidencial baixa renda – faixa 04Não se aplicaNão se aplicaNão se aplica",Mercado_Receita!$L$2:$L$170)</f>
        <v>0</v>
      </c>
      <c r="T26" s="12">
        <f>SUMIF(Mercado_Receita!$S$2:$S$170,"44774B1Convencional pré-pagamentoResidencialResidencial baixa renda – faixa 04Não se aplicaNão se aplicaPonta",Mercado_Receita!$L$2:$L$170)+SUMIF(Mercado_Receita!$S$2:$S$170,"44774B1Convencional pré-pagamentoResidencialResidencial baixa renda – faixa 04Não se aplicaNão se aplicaFora ponta",Mercado_Receita!$L$2:$L$170)+SUMIF(Mercado_Receita!$S$2:$S$170,"44774B1Convencional pré-pagamentoResidencialResidencial baixa renda – faixa 04Não se aplicaNão se aplicaIntermediário",Mercado_Receita!$L$2:$L$170)+SUMIF(Mercado_Receita!$S$2:$S$170,"44774B1Convencional pré-pagamentoResidencialResidencial baixa renda – faixa 04Não se aplicaNão se aplicaNão se aplica",Mercado_Receita!$L$2:$L$170)</f>
        <v>0</v>
      </c>
      <c r="U26" s="12">
        <f t="shared" si="0"/>
        <v>0</v>
      </c>
      <c r="V26" s="12"/>
      <c r="W26" s="12"/>
    </row>
    <row r="27" spans="1:23" ht="11.25" customHeight="1" x14ac:dyDescent="0.25">
      <c r="A27" s="89" t="s">
        <v>39</v>
      </c>
      <c r="B27" s="89" t="s">
        <v>77</v>
      </c>
      <c r="C27" s="89" t="s">
        <v>40</v>
      </c>
      <c r="D27" s="89" t="s">
        <v>25</v>
      </c>
      <c r="E27" s="89" t="s">
        <v>25</v>
      </c>
      <c r="F27" s="89" t="s">
        <v>25</v>
      </c>
      <c r="G27" s="12" t="s">
        <v>64</v>
      </c>
      <c r="H27" s="12" t="s">
        <v>63</v>
      </c>
      <c r="I27" s="12">
        <f>SUMIF(Mercado_Receita!$S$2:$S$170,"44440B2BrancaRuralNão se aplicaNão se aplicaNão se aplicaPonta",Mercado_Receita!$L$2:$L$170)</f>
        <v>0</v>
      </c>
      <c r="J27" s="12">
        <f>SUMIF(Mercado_Receita!$S$2:$S$170,"44470B2BrancaRuralNão se aplicaNão se aplicaNão se aplicaPonta",Mercado_Receita!$L$2:$L$170)</f>
        <v>0</v>
      </c>
      <c r="K27" s="12">
        <f>SUMIF(Mercado_Receita!$S$2:$S$170,"44501B2BrancaRuralNão se aplicaNão se aplicaNão se aplicaPonta",Mercado_Receita!$L$2:$L$170)</f>
        <v>0</v>
      </c>
      <c r="L27" s="12">
        <f>SUMIF(Mercado_Receita!$S$2:$S$170,"44531B2BrancaRuralNão se aplicaNão se aplicaNão se aplicaPonta",Mercado_Receita!$L$2:$L$170)</f>
        <v>0</v>
      </c>
      <c r="M27" s="12">
        <f>SUMIF(Mercado_Receita!$S$2:$S$170,"44562B2BrancaRuralNão se aplicaNão se aplicaNão se aplicaPonta",Mercado_Receita!$L$2:$L$170)</f>
        <v>0</v>
      </c>
      <c r="N27" s="12">
        <f>SUMIF(Mercado_Receita!$S$2:$S$170,"44593B2BrancaRuralNão se aplicaNão se aplicaNão se aplicaPonta",Mercado_Receita!$L$2:$L$170)</f>
        <v>0</v>
      </c>
      <c r="O27" s="12">
        <f>SUMIF(Mercado_Receita!$S$2:$S$170,"44621B2BrancaRuralNão se aplicaNão se aplicaNão se aplicaPonta",Mercado_Receita!$L$2:$L$170)</f>
        <v>0</v>
      </c>
      <c r="P27" s="12">
        <f>SUMIF(Mercado_Receita!$S$2:$S$170,"44652B2BrancaRuralNão se aplicaNão se aplicaNão se aplicaPonta",Mercado_Receita!$L$2:$L$170)</f>
        <v>0</v>
      </c>
      <c r="Q27" s="12">
        <f>SUMIF(Mercado_Receita!$S$2:$S$170,"44682B2BrancaRuralNão se aplicaNão se aplicaNão se aplicaPonta",Mercado_Receita!$L$2:$L$170)</f>
        <v>0</v>
      </c>
      <c r="R27" s="12">
        <f>SUMIF(Mercado_Receita!$S$2:$S$170,"44713B2BrancaRuralNão se aplicaNão se aplicaNão se aplicaPonta",Mercado_Receita!$L$2:$L$170)</f>
        <v>0</v>
      </c>
      <c r="S27" s="12">
        <f>SUMIF(Mercado_Receita!$S$2:$S$170,"44743B2BrancaRuralNão se aplicaNão se aplicaNão se aplicaPonta",Mercado_Receita!$L$2:$L$170)</f>
        <v>0</v>
      </c>
      <c r="T27" s="12">
        <f>SUMIF(Mercado_Receita!$S$2:$S$170,"44774B2BrancaRuralNão se aplicaNão se aplicaNão se aplicaPonta",Mercado_Receita!$L$2:$L$170)</f>
        <v>0</v>
      </c>
      <c r="U27" s="12">
        <f t="shared" si="0"/>
        <v>0</v>
      </c>
      <c r="V27" s="12"/>
      <c r="W27" s="12"/>
    </row>
    <row r="28" spans="1:23" ht="11.25" customHeight="1" x14ac:dyDescent="0.25">
      <c r="A28" s="90"/>
      <c r="B28" s="90"/>
      <c r="C28" s="90"/>
      <c r="D28" s="90"/>
      <c r="E28" s="90"/>
      <c r="F28" s="90"/>
      <c r="G28" s="12" t="s">
        <v>75</v>
      </c>
      <c r="H28" s="12" t="s">
        <v>63</v>
      </c>
      <c r="I28" s="12">
        <f>SUMIF(Mercado_Receita!$S$2:$S$170,"44440B2BrancaRuralNão se aplicaNão se aplicaNão se aplicaIntermediário",Mercado_Receita!$L$2:$L$170)</f>
        <v>0</v>
      </c>
      <c r="J28" s="12">
        <f>SUMIF(Mercado_Receita!$S$2:$S$170,"44470B2BrancaRuralNão se aplicaNão se aplicaNão se aplicaIntermediário",Mercado_Receita!$L$2:$L$170)</f>
        <v>0</v>
      </c>
      <c r="K28" s="12">
        <f>SUMIF(Mercado_Receita!$S$2:$S$170,"44501B2BrancaRuralNão se aplicaNão se aplicaNão se aplicaIntermediário",Mercado_Receita!$L$2:$L$170)</f>
        <v>0</v>
      </c>
      <c r="L28" s="12">
        <f>SUMIF(Mercado_Receita!$S$2:$S$170,"44531B2BrancaRuralNão se aplicaNão se aplicaNão se aplicaIntermediário",Mercado_Receita!$L$2:$L$170)</f>
        <v>0</v>
      </c>
      <c r="M28" s="12">
        <f>SUMIF(Mercado_Receita!$S$2:$S$170,"44562B2BrancaRuralNão se aplicaNão se aplicaNão se aplicaIntermediário",Mercado_Receita!$L$2:$L$170)</f>
        <v>0</v>
      </c>
      <c r="N28" s="12">
        <f>SUMIF(Mercado_Receita!$S$2:$S$170,"44593B2BrancaRuralNão se aplicaNão se aplicaNão se aplicaIntermediário",Mercado_Receita!$L$2:$L$170)</f>
        <v>0</v>
      </c>
      <c r="O28" s="12">
        <f>SUMIF(Mercado_Receita!$S$2:$S$170,"44621B2BrancaRuralNão se aplicaNão se aplicaNão se aplicaIntermediário",Mercado_Receita!$L$2:$L$170)</f>
        <v>0</v>
      </c>
      <c r="P28" s="12">
        <f>SUMIF(Mercado_Receita!$S$2:$S$170,"44652B2BrancaRuralNão se aplicaNão se aplicaNão se aplicaIntermediário",Mercado_Receita!$L$2:$L$170)</f>
        <v>0</v>
      </c>
      <c r="Q28" s="12">
        <f>SUMIF(Mercado_Receita!$S$2:$S$170,"44682B2BrancaRuralNão se aplicaNão se aplicaNão se aplicaIntermediário",Mercado_Receita!$L$2:$L$170)</f>
        <v>0</v>
      </c>
      <c r="R28" s="12">
        <f>SUMIF(Mercado_Receita!$S$2:$S$170,"44713B2BrancaRuralNão se aplicaNão se aplicaNão se aplicaIntermediário",Mercado_Receita!$L$2:$L$170)</f>
        <v>0</v>
      </c>
      <c r="S28" s="12">
        <f>SUMIF(Mercado_Receita!$S$2:$S$170,"44743B2BrancaRuralNão se aplicaNão se aplicaNão se aplicaIntermediário",Mercado_Receita!$L$2:$L$170)</f>
        <v>0</v>
      </c>
      <c r="T28" s="12">
        <f>SUMIF(Mercado_Receita!$S$2:$S$170,"44774B2BrancaRuralNão se aplicaNão se aplicaNão se aplicaIntermediário",Mercado_Receita!$L$2:$L$170)</f>
        <v>0</v>
      </c>
      <c r="U28" s="12">
        <f t="shared" si="0"/>
        <v>0</v>
      </c>
      <c r="V28" s="12"/>
      <c r="W28" s="12"/>
    </row>
    <row r="29" spans="1:23" ht="11.25" customHeight="1" x14ac:dyDescent="0.25">
      <c r="A29" s="90"/>
      <c r="B29" s="90"/>
      <c r="C29" s="90"/>
      <c r="D29" s="90"/>
      <c r="E29" s="90"/>
      <c r="F29" s="90"/>
      <c r="G29" s="12" t="s">
        <v>65</v>
      </c>
      <c r="H29" s="12" t="s">
        <v>63</v>
      </c>
      <c r="I29" s="12">
        <f>SUMIF(Mercado_Receita!$S$2:$S$170,"44440B2BrancaRuralNão se aplicaNão se aplicaNão se aplicaFora ponta",Mercado_Receita!$L$2:$L$170)</f>
        <v>0</v>
      </c>
      <c r="J29" s="12">
        <f>SUMIF(Mercado_Receita!$S$2:$S$170,"44470B2BrancaRuralNão se aplicaNão se aplicaNão se aplicaFora ponta",Mercado_Receita!$L$2:$L$170)</f>
        <v>0</v>
      </c>
      <c r="K29" s="12">
        <f>SUMIF(Mercado_Receita!$S$2:$S$170,"44501B2BrancaRuralNão se aplicaNão se aplicaNão se aplicaFora ponta",Mercado_Receita!$L$2:$L$170)</f>
        <v>0</v>
      </c>
      <c r="L29" s="12">
        <f>SUMIF(Mercado_Receita!$S$2:$S$170,"44531B2BrancaRuralNão se aplicaNão se aplicaNão se aplicaFora ponta",Mercado_Receita!$L$2:$L$170)</f>
        <v>0</v>
      </c>
      <c r="M29" s="12">
        <f>SUMIF(Mercado_Receita!$S$2:$S$170,"44562B2BrancaRuralNão se aplicaNão se aplicaNão se aplicaFora ponta",Mercado_Receita!$L$2:$L$170)</f>
        <v>0</v>
      </c>
      <c r="N29" s="12">
        <f>SUMIF(Mercado_Receita!$S$2:$S$170,"44593B2BrancaRuralNão se aplicaNão se aplicaNão se aplicaFora ponta",Mercado_Receita!$L$2:$L$170)</f>
        <v>0</v>
      </c>
      <c r="O29" s="12">
        <f>SUMIF(Mercado_Receita!$S$2:$S$170,"44621B2BrancaRuralNão se aplicaNão se aplicaNão se aplicaFora ponta",Mercado_Receita!$L$2:$L$170)</f>
        <v>0</v>
      </c>
      <c r="P29" s="12">
        <f>SUMIF(Mercado_Receita!$S$2:$S$170,"44652B2BrancaRuralNão se aplicaNão se aplicaNão se aplicaFora ponta",Mercado_Receita!$L$2:$L$170)</f>
        <v>0</v>
      </c>
      <c r="Q29" s="12">
        <f>SUMIF(Mercado_Receita!$S$2:$S$170,"44682B2BrancaRuralNão se aplicaNão se aplicaNão se aplicaFora ponta",Mercado_Receita!$L$2:$L$170)</f>
        <v>0</v>
      </c>
      <c r="R29" s="12">
        <f>SUMIF(Mercado_Receita!$S$2:$S$170,"44713B2BrancaRuralNão se aplicaNão se aplicaNão se aplicaFora ponta",Mercado_Receita!$L$2:$L$170)</f>
        <v>0</v>
      </c>
      <c r="S29" s="12">
        <f>SUMIF(Mercado_Receita!$S$2:$S$170,"44743B2BrancaRuralNão se aplicaNão se aplicaNão se aplicaFora ponta",Mercado_Receita!$L$2:$L$170)</f>
        <v>0</v>
      </c>
      <c r="T29" s="12">
        <f>SUMIF(Mercado_Receita!$S$2:$S$170,"44774B2BrancaRuralNão se aplicaNão se aplicaNão se aplicaFora ponta",Mercado_Receita!$L$2:$L$170)</f>
        <v>0</v>
      </c>
      <c r="U29" s="12">
        <f t="shared" si="0"/>
        <v>0</v>
      </c>
      <c r="V29" s="12"/>
      <c r="W29" s="12"/>
    </row>
    <row r="30" spans="1:23" ht="11.25" customHeight="1" x14ac:dyDescent="0.25">
      <c r="A30" s="90"/>
      <c r="B30" s="13" t="s">
        <v>23</v>
      </c>
      <c r="C30" s="13" t="s">
        <v>40</v>
      </c>
      <c r="D30" s="13" t="s">
        <v>25</v>
      </c>
      <c r="E30" s="13" t="s">
        <v>25</v>
      </c>
      <c r="F30" s="13" t="s">
        <v>25</v>
      </c>
      <c r="G30" s="12" t="s">
        <v>69</v>
      </c>
      <c r="H30" s="12" t="s">
        <v>63</v>
      </c>
      <c r="I30" s="12">
        <f>SUMIF(Mercado_Receita!$S$2:$S$170,"44440B2ConvencionalRuralNão se aplicaNão se aplicaNão se aplicaPonta",Mercado_Receita!$L$2:$L$170)+SUMIF(Mercado_Receita!$S$2:$S$170,"44440B2ConvencionalRuralNão se aplicaNão se aplicaNão se aplicaFora ponta",Mercado_Receita!$L$2:$L$170)+SUMIF(Mercado_Receita!$S$2:$S$170,"44440B2ConvencionalRuralNão se aplicaNão se aplicaNão se aplicaIntermediário",Mercado_Receita!$L$2:$L$170)+SUMIF(Mercado_Receita!$S$2:$S$170,"44440B2ConvencionalRuralNão se aplicaNão se aplicaNão se aplicaNão se aplica",Mercado_Receita!$L$2:$L$170)</f>
        <v>54.149000000000001</v>
      </c>
      <c r="J30" s="12">
        <f>SUMIF(Mercado_Receita!$S$2:$S$170,"44470B2ConvencionalRuralNão se aplicaNão se aplicaNão se aplicaPonta",Mercado_Receita!$L$2:$L$170)+SUMIF(Mercado_Receita!$S$2:$S$170,"44470B2ConvencionalRuralNão se aplicaNão se aplicaNão se aplicaFora ponta",Mercado_Receita!$L$2:$L$170)+SUMIF(Mercado_Receita!$S$2:$S$170,"44470B2ConvencionalRuralNão se aplicaNão se aplicaNão se aplicaIntermediário",Mercado_Receita!$L$2:$L$170)+SUMIF(Mercado_Receita!$S$2:$S$170,"44470B2ConvencionalRuralNão se aplicaNão se aplicaNão se aplicaNão se aplica",Mercado_Receita!$L$2:$L$170)</f>
        <v>53.856999999999999</v>
      </c>
      <c r="K30" s="12">
        <f>SUMIF(Mercado_Receita!$S$2:$S$170,"44501B2ConvencionalRuralNão se aplicaNão se aplicaNão se aplicaPonta",Mercado_Receita!$L$2:$L$170)+SUMIF(Mercado_Receita!$S$2:$S$170,"44501B2ConvencionalRuralNão se aplicaNão se aplicaNão se aplicaFora ponta",Mercado_Receita!$L$2:$L$170)+SUMIF(Mercado_Receita!$S$2:$S$170,"44501B2ConvencionalRuralNão se aplicaNão se aplicaNão se aplicaIntermediário",Mercado_Receita!$L$2:$L$170)+SUMIF(Mercado_Receita!$S$2:$S$170,"44501B2ConvencionalRuralNão se aplicaNão se aplicaNão se aplicaNão se aplica",Mercado_Receita!$L$2:$L$170)</f>
        <v>54.054000000000002</v>
      </c>
      <c r="L30" s="12">
        <f>SUMIF(Mercado_Receita!$S$2:$S$170,"44531B2ConvencionalRuralNão se aplicaNão se aplicaNão se aplicaPonta",Mercado_Receita!$L$2:$L$170)+SUMIF(Mercado_Receita!$S$2:$S$170,"44531B2ConvencionalRuralNão se aplicaNão se aplicaNão se aplicaFora ponta",Mercado_Receita!$L$2:$L$170)+SUMIF(Mercado_Receita!$S$2:$S$170,"44531B2ConvencionalRuralNão se aplicaNão se aplicaNão se aplicaIntermediário",Mercado_Receita!$L$2:$L$170)+SUMIF(Mercado_Receita!$S$2:$S$170,"44531B2ConvencionalRuralNão se aplicaNão se aplicaNão se aplicaNão se aplica",Mercado_Receita!$L$2:$L$170)</f>
        <v>55.401000000000003</v>
      </c>
      <c r="M30" s="12">
        <f>SUMIF(Mercado_Receita!$S$2:$S$170,"44562B2ConvencionalRuralNão se aplicaNão se aplicaNão se aplicaPonta",Mercado_Receita!$L$2:$L$170)+SUMIF(Mercado_Receita!$S$2:$S$170,"44562B2ConvencionalRuralNão se aplicaNão se aplicaNão se aplicaFora ponta",Mercado_Receita!$L$2:$L$170)+SUMIF(Mercado_Receita!$S$2:$S$170,"44562B2ConvencionalRuralNão se aplicaNão se aplicaNão se aplicaIntermediário",Mercado_Receita!$L$2:$L$170)+SUMIF(Mercado_Receita!$S$2:$S$170,"44562B2ConvencionalRuralNão se aplicaNão se aplicaNão se aplicaNão se aplica",Mercado_Receita!$L$2:$L$170)</f>
        <v>61.930999999999997</v>
      </c>
      <c r="N30" s="12">
        <f>SUMIF(Mercado_Receita!$S$2:$S$170,"44593B2ConvencionalRuralNão se aplicaNão se aplicaNão se aplicaPonta",Mercado_Receita!$L$2:$L$170)+SUMIF(Mercado_Receita!$S$2:$S$170,"44593B2ConvencionalRuralNão se aplicaNão se aplicaNão se aplicaFora ponta",Mercado_Receita!$L$2:$L$170)+SUMIF(Mercado_Receita!$S$2:$S$170,"44593B2ConvencionalRuralNão se aplicaNão se aplicaNão se aplicaIntermediário",Mercado_Receita!$L$2:$L$170)+SUMIF(Mercado_Receita!$S$2:$S$170,"44593B2ConvencionalRuralNão se aplicaNão se aplicaNão se aplicaNão se aplica",Mercado_Receita!$L$2:$L$170)</f>
        <v>61.552</v>
      </c>
      <c r="O30" s="12">
        <f>SUMIF(Mercado_Receita!$S$2:$S$170,"44621B2ConvencionalRuralNão se aplicaNão se aplicaNão se aplicaPonta",Mercado_Receita!$L$2:$L$170)+SUMIF(Mercado_Receita!$S$2:$S$170,"44621B2ConvencionalRuralNão se aplicaNão se aplicaNão se aplicaFora ponta",Mercado_Receita!$L$2:$L$170)+SUMIF(Mercado_Receita!$S$2:$S$170,"44621B2ConvencionalRuralNão se aplicaNão se aplicaNão se aplicaIntermediário",Mercado_Receita!$L$2:$L$170)+SUMIF(Mercado_Receita!$S$2:$S$170,"44621B2ConvencionalRuralNão se aplicaNão se aplicaNão se aplicaNão se aplica",Mercado_Receita!$L$2:$L$170)</f>
        <v>56.143999999999998</v>
      </c>
      <c r="P30" s="12">
        <f>SUMIF(Mercado_Receita!$S$2:$S$170,"44652B2ConvencionalRuralNão se aplicaNão se aplicaNão se aplicaPonta",Mercado_Receita!$L$2:$L$170)+SUMIF(Mercado_Receita!$S$2:$S$170,"44652B2ConvencionalRuralNão se aplicaNão se aplicaNão se aplicaFora ponta",Mercado_Receita!$L$2:$L$170)+SUMIF(Mercado_Receita!$S$2:$S$170,"44652B2ConvencionalRuralNão se aplicaNão se aplicaNão se aplicaIntermediário",Mercado_Receita!$L$2:$L$170)+SUMIF(Mercado_Receita!$S$2:$S$170,"44652B2ConvencionalRuralNão se aplicaNão se aplicaNão se aplicaNão se aplica",Mercado_Receita!$L$2:$L$170)</f>
        <v>58.720999999999997</v>
      </c>
      <c r="Q30" s="12">
        <f>SUMIF(Mercado_Receita!$S$2:$S$170,"44682B2ConvencionalRuralNão se aplicaNão se aplicaNão se aplicaPonta",Mercado_Receita!$L$2:$L$170)+SUMIF(Mercado_Receita!$S$2:$S$170,"44682B2ConvencionalRuralNão se aplicaNão se aplicaNão se aplicaFora ponta",Mercado_Receita!$L$2:$L$170)+SUMIF(Mercado_Receita!$S$2:$S$170,"44682B2ConvencionalRuralNão se aplicaNão se aplicaNão se aplicaIntermediário",Mercado_Receita!$L$2:$L$170)+SUMIF(Mercado_Receita!$S$2:$S$170,"44682B2ConvencionalRuralNão se aplicaNão se aplicaNão se aplicaNão se aplica",Mercado_Receita!$L$2:$L$170)</f>
        <v>51.926000000000002</v>
      </c>
      <c r="R30" s="12">
        <f>SUMIF(Mercado_Receita!$S$2:$S$170,"44713B2ConvencionalRuralNão se aplicaNão se aplicaNão se aplicaPonta",Mercado_Receita!$L$2:$L$170)+SUMIF(Mercado_Receita!$S$2:$S$170,"44713B2ConvencionalRuralNão se aplicaNão se aplicaNão se aplicaFora ponta",Mercado_Receita!$L$2:$L$170)+SUMIF(Mercado_Receita!$S$2:$S$170,"44713B2ConvencionalRuralNão se aplicaNão se aplicaNão se aplicaIntermediário",Mercado_Receita!$L$2:$L$170)+SUMIF(Mercado_Receita!$S$2:$S$170,"44713B2ConvencionalRuralNão se aplicaNão se aplicaNão se aplicaNão se aplica",Mercado_Receita!$L$2:$L$170)</f>
        <v>54.735999999999997</v>
      </c>
      <c r="S30" s="12">
        <f>SUMIF(Mercado_Receita!$S$2:$S$170,"44743B2ConvencionalRuralNão se aplicaNão se aplicaNão se aplicaPonta",Mercado_Receita!$L$2:$L$170)+SUMIF(Mercado_Receita!$S$2:$S$170,"44743B2ConvencionalRuralNão se aplicaNão se aplicaNão se aplicaFora ponta",Mercado_Receita!$L$2:$L$170)+SUMIF(Mercado_Receita!$S$2:$S$170,"44743B2ConvencionalRuralNão se aplicaNão se aplicaNão se aplicaIntermediário",Mercado_Receita!$L$2:$L$170)+SUMIF(Mercado_Receita!$S$2:$S$170,"44743B2ConvencionalRuralNão se aplicaNão se aplicaNão se aplicaNão se aplica",Mercado_Receita!$L$2:$L$170)</f>
        <v>53.656999999999996</v>
      </c>
      <c r="T30" s="12">
        <f>SUMIF(Mercado_Receita!$S$2:$S$170,"44774B2ConvencionalRuralNão se aplicaNão se aplicaNão se aplicaPonta",Mercado_Receita!$L$2:$L$170)+SUMIF(Mercado_Receita!$S$2:$S$170,"44774B2ConvencionalRuralNão se aplicaNão se aplicaNão se aplicaFora ponta",Mercado_Receita!$L$2:$L$170)+SUMIF(Mercado_Receita!$S$2:$S$170,"44774B2ConvencionalRuralNão se aplicaNão se aplicaNão se aplicaIntermediário",Mercado_Receita!$L$2:$L$170)+SUMIF(Mercado_Receita!$S$2:$S$170,"44774B2ConvencionalRuralNão se aplicaNão se aplicaNão se aplicaNão se aplica",Mercado_Receita!$L$2:$L$170)</f>
        <v>52.451999999999998</v>
      </c>
      <c r="U30" s="12">
        <f t="shared" si="0"/>
        <v>668.58</v>
      </c>
      <c r="V30" s="12"/>
      <c r="W30" s="12"/>
    </row>
    <row r="31" spans="1:23" ht="11.25" customHeight="1" x14ac:dyDescent="0.25">
      <c r="A31" s="90"/>
      <c r="B31" s="89" t="s">
        <v>77</v>
      </c>
      <c r="C31" s="89" t="s">
        <v>40</v>
      </c>
      <c r="D31" s="89" t="s">
        <v>80</v>
      </c>
      <c r="E31" s="89" t="s">
        <v>25</v>
      </c>
      <c r="F31" s="89" t="s">
        <v>25</v>
      </c>
      <c r="G31" s="12" t="s">
        <v>64</v>
      </c>
      <c r="H31" s="12" t="s">
        <v>63</v>
      </c>
      <c r="I31" s="12">
        <f>SUMIF(Mercado_Receita!$S$2:$S$170,"44440B2BrancaRuralCooperativa de eletrificação ruralNão se aplicaNão se aplicaPonta",Mercado_Receita!$L$2:$L$170)</f>
        <v>0</v>
      </c>
      <c r="J31" s="12">
        <f>SUMIF(Mercado_Receita!$S$2:$S$170,"44470B2BrancaRuralCooperativa de eletrificação ruralNão se aplicaNão se aplicaPonta",Mercado_Receita!$L$2:$L$170)</f>
        <v>0</v>
      </c>
      <c r="K31" s="12">
        <f>SUMIF(Mercado_Receita!$S$2:$S$170,"44501B2BrancaRuralCooperativa de eletrificação ruralNão se aplicaNão se aplicaPonta",Mercado_Receita!$L$2:$L$170)</f>
        <v>0</v>
      </c>
      <c r="L31" s="12">
        <f>SUMIF(Mercado_Receita!$S$2:$S$170,"44531B2BrancaRuralCooperativa de eletrificação ruralNão se aplicaNão se aplicaPonta",Mercado_Receita!$L$2:$L$170)</f>
        <v>0</v>
      </c>
      <c r="M31" s="12">
        <f>SUMIF(Mercado_Receita!$S$2:$S$170,"44562B2BrancaRuralCooperativa de eletrificação ruralNão se aplicaNão se aplicaPonta",Mercado_Receita!$L$2:$L$170)</f>
        <v>0</v>
      </c>
      <c r="N31" s="12">
        <f>SUMIF(Mercado_Receita!$S$2:$S$170,"44593B2BrancaRuralCooperativa de eletrificação ruralNão se aplicaNão se aplicaPonta",Mercado_Receita!$L$2:$L$170)</f>
        <v>0</v>
      </c>
      <c r="O31" s="12">
        <f>SUMIF(Mercado_Receita!$S$2:$S$170,"44621B2BrancaRuralCooperativa de eletrificação ruralNão se aplicaNão se aplicaPonta",Mercado_Receita!$L$2:$L$170)</f>
        <v>0</v>
      </c>
      <c r="P31" s="12">
        <f>SUMIF(Mercado_Receita!$S$2:$S$170,"44652B2BrancaRuralCooperativa de eletrificação ruralNão se aplicaNão se aplicaPonta",Mercado_Receita!$L$2:$L$170)</f>
        <v>0</v>
      </c>
      <c r="Q31" s="12">
        <f>SUMIF(Mercado_Receita!$S$2:$S$170,"44682B2BrancaRuralCooperativa de eletrificação ruralNão se aplicaNão se aplicaPonta",Mercado_Receita!$L$2:$L$170)</f>
        <v>0</v>
      </c>
      <c r="R31" s="12">
        <f>SUMIF(Mercado_Receita!$S$2:$S$170,"44713B2BrancaRuralCooperativa de eletrificação ruralNão se aplicaNão se aplicaPonta",Mercado_Receita!$L$2:$L$170)</f>
        <v>0</v>
      </c>
      <c r="S31" s="12">
        <f>SUMIF(Mercado_Receita!$S$2:$S$170,"44743B2BrancaRuralCooperativa de eletrificação ruralNão se aplicaNão se aplicaPonta",Mercado_Receita!$L$2:$L$170)</f>
        <v>0</v>
      </c>
      <c r="T31" s="12">
        <f>SUMIF(Mercado_Receita!$S$2:$S$170,"44774B2BrancaRuralCooperativa de eletrificação ruralNão se aplicaNão se aplicaPonta",Mercado_Receita!$L$2:$L$170)</f>
        <v>0</v>
      </c>
      <c r="U31" s="12">
        <f t="shared" si="0"/>
        <v>0</v>
      </c>
      <c r="V31" s="12"/>
      <c r="W31" s="12"/>
    </row>
    <row r="32" spans="1:23" ht="11.25" customHeight="1" x14ac:dyDescent="0.25">
      <c r="A32" s="90"/>
      <c r="B32" s="90"/>
      <c r="C32" s="90"/>
      <c r="D32" s="90"/>
      <c r="E32" s="90"/>
      <c r="F32" s="90"/>
      <c r="G32" s="12" t="s">
        <v>75</v>
      </c>
      <c r="H32" s="12" t="s">
        <v>63</v>
      </c>
      <c r="I32" s="12">
        <f>SUMIF(Mercado_Receita!$S$2:$S$170,"44440B2BrancaRuralCooperativa de eletrificação ruralNão se aplicaNão se aplicaIntermediário",Mercado_Receita!$L$2:$L$170)</f>
        <v>0</v>
      </c>
      <c r="J32" s="12">
        <f>SUMIF(Mercado_Receita!$S$2:$S$170,"44470B2BrancaRuralCooperativa de eletrificação ruralNão se aplicaNão se aplicaIntermediário",Mercado_Receita!$L$2:$L$170)</f>
        <v>0</v>
      </c>
      <c r="K32" s="12">
        <f>SUMIF(Mercado_Receita!$S$2:$S$170,"44501B2BrancaRuralCooperativa de eletrificação ruralNão se aplicaNão se aplicaIntermediário",Mercado_Receita!$L$2:$L$170)</f>
        <v>0</v>
      </c>
      <c r="L32" s="12">
        <f>SUMIF(Mercado_Receita!$S$2:$S$170,"44531B2BrancaRuralCooperativa de eletrificação ruralNão se aplicaNão se aplicaIntermediário",Mercado_Receita!$L$2:$L$170)</f>
        <v>0</v>
      </c>
      <c r="M32" s="12">
        <f>SUMIF(Mercado_Receita!$S$2:$S$170,"44562B2BrancaRuralCooperativa de eletrificação ruralNão se aplicaNão se aplicaIntermediário",Mercado_Receita!$L$2:$L$170)</f>
        <v>0</v>
      </c>
      <c r="N32" s="12">
        <f>SUMIF(Mercado_Receita!$S$2:$S$170,"44593B2BrancaRuralCooperativa de eletrificação ruralNão se aplicaNão se aplicaIntermediário",Mercado_Receita!$L$2:$L$170)</f>
        <v>0</v>
      </c>
      <c r="O32" s="12">
        <f>SUMIF(Mercado_Receita!$S$2:$S$170,"44621B2BrancaRuralCooperativa de eletrificação ruralNão se aplicaNão se aplicaIntermediário",Mercado_Receita!$L$2:$L$170)</f>
        <v>0</v>
      </c>
      <c r="P32" s="12">
        <f>SUMIF(Mercado_Receita!$S$2:$S$170,"44652B2BrancaRuralCooperativa de eletrificação ruralNão se aplicaNão se aplicaIntermediário",Mercado_Receita!$L$2:$L$170)</f>
        <v>0</v>
      </c>
      <c r="Q32" s="12">
        <f>SUMIF(Mercado_Receita!$S$2:$S$170,"44682B2BrancaRuralCooperativa de eletrificação ruralNão se aplicaNão se aplicaIntermediário",Mercado_Receita!$L$2:$L$170)</f>
        <v>0</v>
      </c>
      <c r="R32" s="12">
        <f>SUMIF(Mercado_Receita!$S$2:$S$170,"44713B2BrancaRuralCooperativa de eletrificação ruralNão se aplicaNão se aplicaIntermediário",Mercado_Receita!$L$2:$L$170)</f>
        <v>0</v>
      </c>
      <c r="S32" s="12">
        <f>SUMIF(Mercado_Receita!$S$2:$S$170,"44743B2BrancaRuralCooperativa de eletrificação ruralNão se aplicaNão se aplicaIntermediário",Mercado_Receita!$L$2:$L$170)</f>
        <v>0</v>
      </c>
      <c r="T32" s="12">
        <f>SUMIF(Mercado_Receita!$S$2:$S$170,"44774B2BrancaRuralCooperativa de eletrificação ruralNão se aplicaNão se aplicaIntermediário",Mercado_Receita!$L$2:$L$170)</f>
        <v>0</v>
      </c>
      <c r="U32" s="12">
        <f t="shared" si="0"/>
        <v>0</v>
      </c>
      <c r="V32" s="12"/>
      <c r="W32" s="12"/>
    </row>
    <row r="33" spans="1:23" ht="11.25" customHeight="1" x14ac:dyDescent="0.25">
      <c r="A33" s="90"/>
      <c r="B33" s="90"/>
      <c r="C33" s="90"/>
      <c r="D33" s="90"/>
      <c r="E33" s="90"/>
      <c r="F33" s="90"/>
      <c r="G33" s="12" t="s">
        <v>65</v>
      </c>
      <c r="H33" s="12" t="s">
        <v>63</v>
      </c>
      <c r="I33" s="12">
        <f>SUMIF(Mercado_Receita!$S$2:$S$170,"44440B2BrancaRuralCooperativa de eletrificação ruralNão se aplicaNão se aplicaFora ponta",Mercado_Receita!$L$2:$L$170)</f>
        <v>0</v>
      </c>
      <c r="J33" s="12">
        <f>SUMIF(Mercado_Receita!$S$2:$S$170,"44470B2BrancaRuralCooperativa de eletrificação ruralNão se aplicaNão se aplicaFora ponta",Mercado_Receita!$L$2:$L$170)</f>
        <v>0</v>
      </c>
      <c r="K33" s="12">
        <f>SUMIF(Mercado_Receita!$S$2:$S$170,"44501B2BrancaRuralCooperativa de eletrificação ruralNão se aplicaNão se aplicaFora ponta",Mercado_Receita!$L$2:$L$170)</f>
        <v>0</v>
      </c>
      <c r="L33" s="12">
        <f>SUMIF(Mercado_Receita!$S$2:$S$170,"44531B2BrancaRuralCooperativa de eletrificação ruralNão se aplicaNão se aplicaFora ponta",Mercado_Receita!$L$2:$L$170)</f>
        <v>0</v>
      </c>
      <c r="M33" s="12">
        <f>SUMIF(Mercado_Receita!$S$2:$S$170,"44562B2BrancaRuralCooperativa de eletrificação ruralNão se aplicaNão se aplicaFora ponta",Mercado_Receita!$L$2:$L$170)</f>
        <v>0</v>
      </c>
      <c r="N33" s="12">
        <f>SUMIF(Mercado_Receita!$S$2:$S$170,"44593B2BrancaRuralCooperativa de eletrificação ruralNão se aplicaNão se aplicaFora ponta",Mercado_Receita!$L$2:$L$170)</f>
        <v>0</v>
      </c>
      <c r="O33" s="12">
        <f>SUMIF(Mercado_Receita!$S$2:$S$170,"44621B2BrancaRuralCooperativa de eletrificação ruralNão se aplicaNão se aplicaFora ponta",Mercado_Receita!$L$2:$L$170)</f>
        <v>0</v>
      </c>
      <c r="P33" s="12">
        <f>SUMIF(Mercado_Receita!$S$2:$S$170,"44652B2BrancaRuralCooperativa de eletrificação ruralNão se aplicaNão se aplicaFora ponta",Mercado_Receita!$L$2:$L$170)</f>
        <v>0</v>
      </c>
      <c r="Q33" s="12">
        <f>SUMIF(Mercado_Receita!$S$2:$S$170,"44682B2BrancaRuralCooperativa de eletrificação ruralNão se aplicaNão se aplicaFora ponta",Mercado_Receita!$L$2:$L$170)</f>
        <v>0</v>
      </c>
      <c r="R33" s="12">
        <f>SUMIF(Mercado_Receita!$S$2:$S$170,"44713B2BrancaRuralCooperativa de eletrificação ruralNão se aplicaNão se aplicaFora ponta",Mercado_Receita!$L$2:$L$170)</f>
        <v>0</v>
      </c>
      <c r="S33" s="12">
        <f>SUMIF(Mercado_Receita!$S$2:$S$170,"44743B2BrancaRuralCooperativa de eletrificação ruralNão se aplicaNão se aplicaFora ponta",Mercado_Receita!$L$2:$L$170)</f>
        <v>0</v>
      </c>
      <c r="T33" s="12">
        <f>SUMIF(Mercado_Receita!$S$2:$S$170,"44774B2BrancaRuralCooperativa de eletrificação ruralNão se aplicaNão se aplicaFora ponta",Mercado_Receita!$L$2:$L$170)</f>
        <v>0</v>
      </c>
      <c r="U33" s="12">
        <f t="shared" si="0"/>
        <v>0</v>
      </c>
      <c r="V33" s="12"/>
      <c r="W33" s="12"/>
    </row>
    <row r="34" spans="1:23" ht="11.25" customHeight="1" x14ac:dyDescent="0.25">
      <c r="A34" s="90"/>
      <c r="B34" s="13" t="s">
        <v>23</v>
      </c>
      <c r="C34" s="13" t="s">
        <v>40</v>
      </c>
      <c r="D34" s="13" t="s">
        <v>80</v>
      </c>
      <c r="E34" s="13" t="s">
        <v>25</v>
      </c>
      <c r="F34" s="13" t="s">
        <v>25</v>
      </c>
      <c r="G34" s="12" t="s">
        <v>69</v>
      </c>
      <c r="H34" s="12" t="s">
        <v>63</v>
      </c>
      <c r="I34" s="12">
        <f>SUMIF(Mercado_Receita!$S$2:$S$170,"44440B2ConvencionalRuralCooperativa de eletrificação ruralNão se aplicaNão se aplicaPonta",Mercado_Receita!$L$2:$L$170)+SUMIF(Mercado_Receita!$S$2:$S$170,"44440B2ConvencionalRuralCooperativa de eletrificação ruralNão se aplicaNão se aplicaFora ponta",Mercado_Receita!$L$2:$L$170)+SUMIF(Mercado_Receita!$S$2:$S$170,"44440B2ConvencionalRuralCooperativa de eletrificação ruralNão se aplicaNão se aplicaIntermediário",Mercado_Receita!$L$2:$L$170)+SUMIF(Mercado_Receita!$S$2:$S$170,"44440B2ConvencionalRuralCooperativa de eletrificação ruralNão se aplicaNão se aplicaNão se aplica",Mercado_Receita!$L$2:$L$170)</f>
        <v>0</v>
      </c>
      <c r="J34" s="12">
        <f>SUMIF(Mercado_Receita!$S$2:$S$170,"44470B2ConvencionalRuralCooperativa de eletrificação ruralNão se aplicaNão se aplicaPonta",Mercado_Receita!$L$2:$L$170)+SUMIF(Mercado_Receita!$S$2:$S$170,"44470B2ConvencionalRuralCooperativa de eletrificação ruralNão se aplicaNão se aplicaFora ponta",Mercado_Receita!$L$2:$L$170)+SUMIF(Mercado_Receita!$S$2:$S$170,"44470B2ConvencionalRuralCooperativa de eletrificação ruralNão se aplicaNão se aplicaIntermediário",Mercado_Receita!$L$2:$L$170)+SUMIF(Mercado_Receita!$S$2:$S$170,"44470B2ConvencionalRuralCooperativa de eletrificação ruralNão se aplicaNão se aplicaNão se aplica",Mercado_Receita!$L$2:$L$170)</f>
        <v>0</v>
      </c>
      <c r="K34" s="12">
        <f>SUMIF(Mercado_Receita!$S$2:$S$170,"44501B2ConvencionalRuralCooperativa de eletrificação ruralNão se aplicaNão se aplicaPonta",Mercado_Receita!$L$2:$L$170)+SUMIF(Mercado_Receita!$S$2:$S$170,"44501B2ConvencionalRuralCooperativa de eletrificação ruralNão se aplicaNão se aplicaFora ponta",Mercado_Receita!$L$2:$L$170)+SUMIF(Mercado_Receita!$S$2:$S$170,"44501B2ConvencionalRuralCooperativa de eletrificação ruralNão se aplicaNão se aplicaIntermediário",Mercado_Receita!$L$2:$L$170)+SUMIF(Mercado_Receita!$S$2:$S$170,"44501B2ConvencionalRuralCooperativa de eletrificação ruralNão se aplicaNão se aplicaNão se aplica",Mercado_Receita!$L$2:$L$170)</f>
        <v>0</v>
      </c>
      <c r="L34" s="12">
        <f>SUMIF(Mercado_Receita!$S$2:$S$170,"44531B2ConvencionalRuralCooperativa de eletrificação ruralNão se aplicaNão se aplicaPonta",Mercado_Receita!$L$2:$L$170)+SUMIF(Mercado_Receita!$S$2:$S$170,"44531B2ConvencionalRuralCooperativa de eletrificação ruralNão se aplicaNão se aplicaFora ponta",Mercado_Receita!$L$2:$L$170)+SUMIF(Mercado_Receita!$S$2:$S$170,"44531B2ConvencionalRuralCooperativa de eletrificação ruralNão se aplicaNão se aplicaIntermediário",Mercado_Receita!$L$2:$L$170)+SUMIF(Mercado_Receita!$S$2:$S$170,"44531B2ConvencionalRuralCooperativa de eletrificação ruralNão se aplicaNão se aplicaNão se aplica",Mercado_Receita!$L$2:$L$170)</f>
        <v>0</v>
      </c>
      <c r="M34" s="12">
        <f>SUMIF(Mercado_Receita!$S$2:$S$170,"44562B2ConvencionalRuralCooperativa de eletrificação ruralNão se aplicaNão se aplicaPonta",Mercado_Receita!$L$2:$L$170)+SUMIF(Mercado_Receita!$S$2:$S$170,"44562B2ConvencionalRuralCooperativa de eletrificação ruralNão se aplicaNão se aplicaFora ponta",Mercado_Receita!$L$2:$L$170)+SUMIF(Mercado_Receita!$S$2:$S$170,"44562B2ConvencionalRuralCooperativa de eletrificação ruralNão se aplicaNão se aplicaIntermediário",Mercado_Receita!$L$2:$L$170)+SUMIF(Mercado_Receita!$S$2:$S$170,"44562B2ConvencionalRuralCooperativa de eletrificação ruralNão se aplicaNão se aplicaNão se aplica",Mercado_Receita!$L$2:$L$170)</f>
        <v>0</v>
      </c>
      <c r="N34" s="12">
        <f>SUMIF(Mercado_Receita!$S$2:$S$170,"44593B2ConvencionalRuralCooperativa de eletrificação ruralNão se aplicaNão se aplicaPonta",Mercado_Receita!$L$2:$L$170)+SUMIF(Mercado_Receita!$S$2:$S$170,"44593B2ConvencionalRuralCooperativa de eletrificação ruralNão se aplicaNão se aplicaFora ponta",Mercado_Receita!$L$2:$L$170)+SUMIF(Mercado_Receita!$S$2:$S$170,"44593B2ConvencionalRuralCooperativa de eletrificação ruralNão se aplicaNão se aplicaIntermediário",Mercado_Receita!$L$2:$L$170)+SUMIF(Mercado_Receita!$S$2:$S$170,"44593B2ConvencionalRuralCooperativa de eletrificação ruralNão se aplicaNão se aplicaNão se aplica",Mercado_Receita!$L$2:$L$170)</f>
        <v>0</v>
      </c>
      <c r="O34" s="12">
        <f>SUMIF(Mercado_Receita!$S$2:$S$170,"44621B2ConvencionalRuralCooperativa de eletrificação ruralNão se aplicaNão se aplicaPonta",Mercado_Receita!$L$2:$L$170)+SUMIF(Mercado_Receita!$S$2:$S$170,"44621B2ConvencionalRuralCooperativa de eletrificação ruralNão se aplicaNão se aplicaFora ponta",Mercado_Receita!$L$2:$L$170)+SUMIF(Mercado_Receita!$S$2:$S$170,"44621B2ConvencionalRuralCooperativa de eletrificação ruralNão se aplicaNão se aplicaIntermediário",Mercado_Receita!$L$2:$L$170)+SUMIF(Mercado_Receita!$S$2:$S$170,"44621B2ConvencionalRuralCooperativa de eletrificação ruralNão se aplicaNão se aplicaNão se aplica",Mercado_Receita!$L$2:$L$170)</f>
        <v>0</v>
      </c>
      <c r="P34" s="12">
        <f>SUMIF(Mercado_Receita!$S$2:$S$170,"44652B2ConvencionalRuralCooperativa de eletrificação ruralNão se aplicaNão se aplicaPonta",Mercado_Receita!$L$2:$L$170)+SUMIF(Mercado_Receita!$S$2:$S$170,"44652B2ConvencionalRuralCooperativa de eletrificação ruralNão se aplicaNão se aplicaFora ponta",Mercado_Receita!$L$2:$L$170)+SUMIF(Mercado_Receita!$S$2:$S$170,"44652B2ConvencionalRuralCooperativa de eletrificação ruralNão se aplicaNão se aplicaIntermediário",Mercado_Receita!$L$2:$L$170)+SUMIF(Mercado_Receita!$S$2:$S$170,"44652B2ConvencionalRuralCooperativa de eletrificação ruralNão se aplicaNão se aplicaNão se aplica",Mercado_Receita!$L$2:$L$170)</f>
        <v>0</v>
      </c>
      <c r="Q34" s="12">
        <f>SUMIF(Mercado_Receita!$S$2:$S$170,"44682B2ConvencionalRuralCooperativa de eletrificação ruralNão se aplicaNão se aplicaPonta",Mercado_Receita!$L$2:$L$170)+SUMIF(Mercado_Receita!$S$2:$S$170,"44682B2ConvencionalRuralCooperativa de eletrificação ruralNão se aplicaNão se aplicaFora ponta",Mercado_Receita!$L$2:$L$170)+SUMIF(Mercado_Receita!$S$2:$S$170,"44682B2ConvencionalRuralCooperativa de eletrificação ruralNão se aplicaNão se aplicaIntermediário",Mercado_Receita!$L$2:$L$170)+SUMIF(Mercado_Receita!$S$2:$S$170,"44682B2ConvencionalRuralCooperativa de eletrificação ruralNão se aplicaNão se aplicaNão se aplica",Mercado_Receita!$L$2:$L$170)</f>
        <v>0</v>
      </c>
      <c r="R34" s="12">
        <f>SUMIF(Mercado_Receita!$S$2:$S$170,"44713B2ConvencionalRuralCooperativa de eletrificação ruralNão se aplicaNão se aplicaPonta",Mercado_Receita!$L$2:$L$170)+SUMIF(Mercado_Receita!$S$2:$S$170,"44713B2ConvencionalRuralCooperativa de eletrificação ruralNão se aplicaNão se aplicaFora ponta",Mercado_Receita!$L$2:$L$170)+SUMIF(Mercado_Receita!$S$2:$S$170,"44713B2ConvencionalRuralCooperativa de eletrificação ruralNão se aplicaNão se aplicaIntermediário",Mercado_Receita!$L$2:$L$170)+SUMIF(Mercado_Receita!$S$2:$S$170,"44713B2ConvencionalRuralCooperativa de eletrificação ruralNão se aplicaNão se aplicaNão se aplica",Mercado_Receita!$L$2:$L$170)</f>
        <v>0</v>
      </c>
      <c r="S34" s="12">
        <f>SUMIF(Mercado_Receita!$S$2:$S$170,"44743B2ConvencionalRuralCooperativa de eletrificação ruralNão se aplicaNão se aplicaPonta",Mercado_Receita!$L$2:$L$170)+SUMIF(Mercado_Receita!$S$2:$S$170,"44743B2ConvencionalRuralCooperativa de eletrificação ruralNão se aplicaNão se aplicaFora ponta",Mercado_Receita!$L$2:$L$170)+SUMIF(Mercado_Receita!$S$2:$S$170,"44743B2ConvencionalRuralCooperativa de eletrificação ruralNão se aplicaNão se aplicaIntermediário",Mercado_Receita!$L$2:$L$170)+SUMIF(Mercado_Receita!$S$2:$S$170,"44743B2ConvencionalRuralCooperativa de eletrificação ruralNão se aplicaNão se aplicaNão se aplica",Mercado_Receita!$L$2:$L$170)</f>
        <v>0</v>
      </c>
      <c r="T34" s="12">
        <f>SUMIF(Mercado_Receita!$S$2:$S$170,"44774B2ConvencionalRuralCooperativa de eletrificação ruralNão se aplicaNão se aplicaPonta",Mercado_Receita!$L$2:$L$170)+SUMIF(Mercado_Receita!$S$2:$S$170,"44774B2ConvencionalRuralCooperativa de eletrificação ruralNão se aplicaNão se aplicaFora ponta",Mercado_Receita!$L$2:$L$170)+SUMIF(Mercado_Receita!$S$2:$S$170,"44774B2ConvencionalRuralCooperativa de eletrificação ruralNão se aplicaNão se aplicaIntermediário",Mercado_Receita!$L$2:$L$170)+SUMIF(Mercado_Receita!$S$2:$S$170,"44774B2ConvencionalRuralCooperativa de eletrificação ruralNão se aplicaNão se aplicaNão se aplica",Mercado_Receita!$L$2:$L$170)</f>
        <v>0</v>
      </c>
      <c r="U34" s="12">
        <f t="shared" si="0"/>
        <v>0</v>
      </c>
      <c r="V34" s="12"/>
      <c r="W34" s="12"/>
    </row>
    <row r="35" spans="1:23" ht="11.25" customHeight="1" x14ac:dyDescent="0.25">
      <c r="A35" s="90"/>
      <c r="B35" s="89" t="s">
        <v>77</v>
      </c>
      <c r="C35" s="89" t="s">
        <v>40</v>
      </c>
      <c r="D35" s="89" t="s">
        <v>81</v>
      </c>
      <c r="E35" s="89" t="s">
        <v>25</v>
      </c>
      <c r="F35" s="89" t="s">
        <v>25</v>
      </c>
      <c r="G35" s="12" t="s">
        <v>64</v>
      </c>
      <c r="H35" s="12" t="s">
        <v>63</v>
      </c>
      <c r="I35" s="12">
        <f>SUMIF(Mercado_Receita!$S$2:$S$170,"44440B2BrancaRuralServiço público de irrigação ruralNão se aplicaNão se aplicaPonta",Mercado_Receita!$L$2:$L$170)</f>
        <v>0</v>
      </c>
      <c r="J35" s="12">
        <f>SUMIF(Mercado_Receita!$S$2:$S$170,"44470B2BrancaRuralServiço público de irrigação ruralNão se aplicaNão se aplicaPonta",Mercado_Receita!$L$2:$L$170)</f>
        <v>0</v>
      </c>
      <c r="K35" s="12">
        <f>SUMIF(Mercado_Receita!$S$2:$S$170,"44501B2BrancaRuralServiço público de irrigação ruralNão se aplicaNão se aplicaPonta",Mercado_Receita!$L$2:$L$170)</f>
        <v>0</v>
      </c>
      <c r="L35" s="12">
        <f>SUMIF(Mercado_Receita!$S$2:$S$170,"44531B2BrancaRuralServiço público de irrigação ruralNão se aplicaNão se aplicaPonta",Mercado_Receita!$L$2:$L$170)</f>
        <v>0</v>
      </c>
      <c r="M35" s="12">
        <f>SUMIF(Mercado_Receita!$S$2:$S$170,"44562B2BrancaRuralServiço público de irrigação ruralNão se aplicaNão se aplicaPonta",Mercado_Receita!$L$2:$L$170)</f>
        <v>0</v>
      </c>
      <c r="N35" s="12">
        <f>SUMIF(Mercado_Receita!$S$2:$S$170,"44593B2BrancaRuralServiço público de irrigação ruralNão se aplicaNão se aplicaPonta",Mercado_Receita!$L$2:$L$170)</f>
        <v>0</v>
      </c>
      <c r="O35" s="12">
        <f>SUMIF(Mercado_Receita!$S$2:$S$170,"44621B2BrancaRuralServiço público de irrigação ruralNão se aplicaNão se aplicaPonta",Mercado_Receita!$L$2:$L$170)</f>
        <v>0</v>
      </c>
      <c r="P35" s="12">
        <f>SUMIF(Mercado_Receita!$S$2:$S$170,"44652B2BrancaRuralServiço público de irrigação ruralNão se aplicaNão se aplicaPonta",Mercado_Receita!$L$2:$L$170)</f>
        <v>0</v>
      </c>
      <c r="Q35" s="12">
        <f>SUMIF(Mercado_Receita!$S$2:$S$170,"44682B2BrancaRuralServiço público de irrigação ruralNão se aplicaNão se aplicaPonta",Mercado_Receita!$L$2:$L$170)</f>
        <v>0</v>
      </c>
      <c r="R35" s="12">
        <f>SUMIF(Mercado_Receita!$S$2:$S$170,"44713B2BrancaRuralServiço público de irrigação ruralNão se aplicaNão se aplicaPonta",Mercado_Receita!$L$2:$L$170)</f>
        <v>0</v>
      </c>
      <c r="S35" s="12">
        <f>SUMIF(Mercado_Receita!$S$2:$S$170,"44743B2BrancaRuralServiço público de irrigação ruralNão se aplicaNão se aplicaPonta",Mercado_Receita!$L$2:$L$170)</f>
        <v>0</v>
      </c>
      <c r="T35" s="12">
        <f>SUMIF(Mercado_Receita!$S$2:$S$170,"44774B2BrancaRuralServiço público de irrigação ruralNão se aplicaNão se aplicaPonta",Mercado_Receita!$L$2:$L$170)</f>
        <v>0</v>
      </c>
      <c r="U35" s="12">
        <f t="shared" si="0"/>
        <v>0</v>
      </c>
      <c r="V35" s="12"/>
      <c r="W35" s="12"/>
    </row>
    <row r="36" spans="1:23" ht="11.25" customHeight="1" x14ac:dyDescent="0.25">
      <c r="A36" s="90"/>
      <c r="B36" s="90"/>
      <c r="C36" s="90"/>
      <c r="D36" s="90"/>
      <c r="E36" s="90"/>
      <c r="F36" s="90"/>
      <c r="G36" s="12" t="s">
        <v>75</v>
      </c>
      <c r="H36" s="12" t="s">
        <v>63</v>
      </c>
      <c r="I36" s="12">
        <f>SUMIF(Mercado_Receita!$S$2:$S$170,"44440B2BrancaRuralServiço público de irrigação ruralNão se aplicaNão se aplicaIntermediário",Mercado_Receita!$L$2:$L$170)</f>
        <v>0</v>
      </c>
      <c r="J36" s="12">
        <f>SUMIF(Mercado_Receita!$S$2:$S$170,"44470B2BrancaRuralServiço público de irrigação ruralNão se aplicaNão se aplicaIntermediário",Mercado_Receita!$L$2:$L$170)</f>
        <v>0</v>
      </c>
      <c r="K36" s="12">
        <f>SUMIF(Mercado_Receita!$S$2:$S$170,"44501B2BrancaRuralServiço público de irrigação ruralNão se aplicaNão se aplicaIntermediário",Mercado_Receita!$L$2:$L$170)</f>
        <v>0</v>
      </c>
      <c r="L36" s="12">
        <f>SUMIF(Mercado_Receita!$S$2:$S$170,"44531B2BrancaRuralServiço público de irrigação ruralNão se aplicaNão se aplicaIntermediário",Mercado_Receita!$L$2:$L$170)</f>
        <v>0</v>
      </c>
      <c r="M36" s="12">
        <f>SUMIF(Mercado_Receita!$S$2:$S$170,"44562B2BrancaRuralServiço público de irrigação ruralNão se aplicaNão se aplicaIntermediário",Mercado_Receita!$L$2:$L$170)</f>
        <v>0</v>
      </c>
      <c r="N36" s="12">
        <f>SUMIF(Mercado_Receita!$S$2:$S$170,"44593B2BrancaRuralServiço público de irrigação ruralNão se aplicaNão se aplicaIntermediário",Mercado_Receita!$L$2:$L$170)</f>
        <v>0</v>
      </c>
      <c r="O36" s="12">
        <f>SUMIF(Mercado_Receita!$S$2:$S$170,"44621B2BrancaRuralServiço público de irrigação ruralNão se aplicaNão se aplicaIntermediário",Mercado_Receita!$L$2:$L$170)</f>
        <v>0</v>
      </c>
      <c r="P36" s="12">
        <f>SUMIF(Mercado_Receita!$S$2:$S$170,"44652B2BrancaRuralServiço público de irrigação ruralNão se aplicaNão se aplicaIntermediário",Mercado_Receita!$L$2:$L$170)</f>
        <v>0</v>
      </c>
      <c r="Q36" s="12">
        <f>SUMIF(Mercado_Receita!$S$2:$S$170,"44682B2BrancaRuralServiço público de irrigação ruralNão se aplicaNão se aplicaIntermediário",Mercado_Receita!$L$2:$L$170)</f>
        <v>0</v>
      </c>
      <c r="R36" s="12">
        <f>SUMIF(Mercado_Receita!$S$2:$S$170,"44713B2BrancaRuralServiço público de irrigação ruralNão se aplicaNão se aplicaIntermediário",Mercado_Receita!$L$2:$L$170)</f>
        <v>0</v>
      </c>
      <c r="S36" s="12">
        <f>SUMIF(Mercado_Receita!$S$2:$S$170,"44743B2BrancaRuralServiço público de irrigação ruralNão se aplicaNão se aplicaIntermediário",Mercado_Receita!$L$2:$L$170)</f>
        <v>0</v>
      </c>
      <c r="T36" s="12">
        <f>SUMIF(Mercado_Receita!$S$2:$S$170,"44774B2BrancaRuralServiço público de irrigação ruralNão se aplicaNão se aplicaIntermediário",Mercado_Receita!$L$2:$L$170)</f>
        <v>0</v>
      </c>
      <c r="U36" s="12">
        <f t="shared" si="0"/>
        <v>0</v>
      </c>
      <c r="V36" s="12"/>
      <c r="W36" s="12"/>
    </row>
    <row r="37" spans="1:23" ht="11.25" customHeight="1" x14ac:dyDescent="0.25">
      <c r="A37" s="90"/>
      <c r="B37" s="90"/>
      <c r="C37" s="90"/>
      <c r="D37" s="90"/>
      <c r="E37" s="90"/>
      <c r="F37" s="90"/>
      <c r="G37" s="12" t="s">
        <v>65</v>
      </c>
      <c r="H37" s="12" t="s">
        <v>63</v>
      </c>
      <c r="I37" s="12">
        <f>SUMIF(Mercado_Receita!$S$2:$S$170,"44440B2BrancaRuralServiço público de irrigação ruralNão se aplicaNão se aplicaFora ponta",Mercado_Receita!$L$2:$L$170)</f>
        <v>0</v>
      </c>
      <c r="J37" s="12">
        <f>SUMIF(Mercado_Receita!$S$2:$S$170,"44470B2BrancaRuralServiço público de irrigação ruralNão se aplicaNão se aplicaFora ponta",Mercado_Receita!$L$2:$L$170)</f>
        <v>0</v>
      </c>
      <c r="K37" s="12">
        <f>SUMIF(Mercado_Receita!$S$2:$S$170,"44501B2BrancaRuralServiço público de irrigação ruralNão se aplicaNão se aplicaFora ponta",Mercado_Receita!$L$2:$L$170)</f>
        <v>0</v>
      </c>
      <c r="L37" s="12">
        <f>SUMIF(Mercado_Receita!$S$2:$S$170,"44531B2BrancaRuralServiço público de irrigação ruralNão se aplicaNão se aplicaFora ponta",Mercado_Receita!$L$2:$L$170)</f>
        <v>0</v>
      </c>
      <c r="M37" s="12">
        <f>SUMIF(Mercado_Receita!$S$2:$S$170,"44562B2BrancaRuralServiço público de irrigação ruralNão se aplicaNão se aplicaFora ponta",Mercado_Receita!$L$2:$L$170)</f>
        <v>0</v>
      </c>
      <c r="N37" s="12">
        <f>SUMIF(Mercado_Receita!$S$2:$S$170,"44593B2BrancaRuralServiço público de irrigação ruralNão se aplicaNão se aplicaFora ponta",Mercado_Receita!$L$2:$L$170)</f>
        <v>0</v>
      </c>
      <c r="O37" s="12">
        <f>SUMIF(Mercado_Receita!$S$2:$S$170,"44621B2BrancaRuralServiço público de irrigação ruralNão se aplicaNão se aplicaFora ponta",Mercado_Receita!$L$2:$L$170)</f>
        <v>0</v>
      </c>
      <c r="P37" s="12">
        <f>SUMIF(Mercado_Receita!$S$2:$S$170,"44652B2BrancaRuralServiço público de irrigação ruralNão se aplicaNão se aplicaFora ponta",Mercado_Receita!$L$2:$L$170)</f>
        <v>0</v>
      </c>
      <c r="Q37" s="12">
        <f>SUMIF(Mercado_Receita!$S$2:$S$170,"44682B2BrancaRuralServiço público de irrigação ruralNão se aplicaNão se aplicaFora ponta",Mercado_Receita!$L$2:$L$170)</f>
        <v>0</v>
      </c>
      <c r="R37" s="12">
        <f>SUMIF(Mercado_Receita!$S$2:$S$170,"44713B2BrancaRuralServiço público de irrigação ruralNão se aplicaNão se aplicaFora ponta",Mercado_Receita!$L$2:$L$170)</f>
        <v>0</v>
      </c>
      <c r="S37" s="12">
        <f>SUMIF(Mercado_Receita!$S$2:$S$170,"44743B2BrancaRuralServiço público de irrigação ruralNão se aplicaNão se aplicaFora ponta",Mercado_Receita!$L$2:$L$170)</f>
        <v>0</v>
      </c>
      <c r="T37" s="12">
        <f>SUMIF(Mercado_Receita!$S$2:$S$170,"44774B2BrancaRuralServiço público de irrigação ruralNão se aplicaNão se aplicaFora ponta",Mercado_Receita!$L$2:$L$170)</f>
        <v>0</v>
      </c>
      <c r="U37" s="12">
        <f t="shared" si="0"/>
        <v>0</v>
      </c>
      <c r="V37" s="12"/>
      <c r="W37" s="12"/>
    </row>
    <row r="38" spans="1:23" ht="11.25" customHeight="1" x14ac:dyDescent="0.25">
      <c r="A38" s="90"/>
      <c r="B38" s="13" t="s">
        <v>23</v>
      </c>
      <c r="C38" s="13" t="s">
        <v>40</v>
      </c>
      <c r="D38" s="13" t="s">
        <v>81</v>
      </c>
      <c r="E38" s="13" t="s">
        <v>25</v>
      </c>
      <c r="F38" s="13" t="s">
        <v>25</v>
      </c>
      <c r="G38" s="12" t="s">
        <v>69</v>
      </c>
      <c r="H38" s="12" t="s">
        <v>63</v>
      </c>
      <c r="I38" s="12">
        <f>SUMIF(Mercado_Receita!$S$2:$S$170,"44440B2ConvencionalRuralServiço público de irrigação ruralNão se aplicaNão se aplicaPonta",Mercado_Receita!$L$2:$L$170)+SUMIF(Mercado_Receita!$S$2:$S$170,"44440B2ConvencionalRuralServiço público de irrigação ruralNão se aplicaNão se aplicaFora ponta",Mercado_Receita!$L$2:$L$170)+SUMIF(Mercado_Receita!$S$2:$S$170,"44440B2ConvencionalRuralServiço público de irrigação ruralNão se aplicaNão se aplicaIntermediário",Mercado_Receita!$L$2:$L$170)+SUMIF(Mercado_Receita!$S$2:$S$170,"44440B2ConvencionalRuralServiço público de irrigação ruralNão se aplicaNão se aplicaNão se aplica",Mercado_Receita!$L$2:$L$170)</f>
        <v>0</v>
      </c>
      <c r="J38" s="12">
        <f>SUMIF(Mercado_Receita!$S$2:$S$170,"44470B2ConvencionalRuralServiço público de irrigação ruralNão se aplicaNão se aplicaPonta",Mercado_Receita!$L$2:$L$170)+SUMIF(Mercado_Receita!$S$2:$S$170,"44470B2ConvencionalRuralServiço público de irrigação ruralNão se aplicaNão se aplicaFora ponta",Mercado_Receita!$L$2:$L$170)+SUMIF(Mercado_Receita!$S$2:$S$170,"44470B2ConvencionalRuralServiço público de irrigação ruralNão se aplicaNão se aplicaIntermediário",Mercado_Receita!$L$2:$L$170)+SUMIF(Mercado_Receita!$S$2:$S$170,"44470B2ConvencionalRuralServiço público de irrigação ruralNão se aplicaNão se aplicaNão se aplica",Mercado_Receita!$L$2:$L$170)</f>
        <v>0</v>
      </c>
      <c r="K38" s="12">
        <f>SUMIF(Mercado_Receita!$S$2:$S$170,"44501B2ConvencionalRuralServiço público de irrigação ruralNão se aplicaNão se aplicaPonta",Mercado_Receita!$L$2:$L$170)+SUMIF(Mercado_Receita!$S$2:$S$170,"44501B2ConvencionalRuralServiço público de irrigação ruralNão se aplicaNão se aplicaFora ponta",Mercado_Receita!$L$2:$L$170)+SUMIF(Mercado_Receita!$S$2:$S$170,"44501B2ConvencionalRuralServiço público de irrigação ruralNão se aplicaNão se aplicaIntermediário",Mercado_Receita!$L$2:$L$170)+SUMIF(Mercado_Receita!$S$2:$S$170,"44501B2ConvencionalRuralServiço público de irrigação ruralNão se aplicaNão se aplicaNão se aplica",Mercado_Receita!$L$2:$L$170)</f>
        <v>0</v>
      </c>
      <c r="L38" s="12">
        <f>SUMIF(Mercado_Receita!$S$2:$S$170,"44531B2ConvencionalRuralServiço público de irrigação ruralNão se aplicaNão se aplicaPonta",Mercado_Receita!$L$2:$L$170)+SUMIF(Mercado_Receita!$S$2:$S$170,"44531B2ConvencionalRuralServiço público de irrigação ruralNão se aplicaNão se aplicaFora ponta",Mercado_Receita!$L$2:$L$170)+SUMIF(Mercado_Receita!$S$2:$S$170,"44531B2ConvencionalRuralServiço público de irrigação ruralNão se aplicaNão se aplicaIntermediário",Mercado_Receita!$L$2:$L$170)+SUMIF(Mercado_Receita!$S$2:$S$170,"44531B2ConvencionalRuralServiço público de irrigação ruralNão se aplicaNão se aplicaNão se aplica",Mercado_Receita!$L$2:$L$170)</f>
        <v>0</v>
      </c>
      <c r="M38" s="12">
        <f>SUMIF(Mercado_Receita!$S$2:$S$170,"44562B2ConvencionalRuralServiço público de irrigação ruralNão se aplicaNão se aplicaPonta",Mercado_Receita!$L$2:$L$170)+SUMIF(Mercado_Receita!$S$2:$S$170,"44562B2ConvencionalRuralServiço público de irrigação ruralNão se aplicaNão se aplicaFora ponta",Mercado_Receita!$L$2:$L$170)+SUMIF(Mercado_Receita!$S$2:$S$170,"44562B2ConvencionalRuralServiço público de irrigação ruralNão se aplicaNão se aplicaIntermediário",Mercado_Receita!$L$2:$L$170)+SUMIF(Mercado_Receita!$S$2:$S$170,"44562B2ConvencionalRuralServiço público de irrigação ruralNão se aplicaNão se aplicaNão se aplica",Mercado_Receita!$L$2:$L$170)</f>
        <v>0</v>
      </c>
      <c r="N38" s="12">
        <f>SUMIF(Mercado_Receita!$S$2:$S$170,"44593B2ConvencionalRuralServiço público de irrigação ruralNão se aplicaNão se aplicaPonta",Mercado_Receita!$L$2:$L$170)+SUMIF(Mercado_Receita!$S$2:$S$170,"44593B2ConvencionalRuralServiço público de irrigação ruralNão se aplicaNão se aplicaFora ponta",Mercado_Receita!$L$2:$L$170)+SUMIF(Mercado_Receita!$S$2:$S$170,"44593B2ConvencionalRuralServiço público de irrigação ruralNão se aplicaNão se aplicaIntermediário",Mercado_Receita!$L$2:$L$170)+SUMIF(Mercado_Receita!$S$2:$S$170,"44593B2ConvencionalRuralServiço público de irrigação ruralNão se aplicaNão se aplicaNão se aplica",Mercado_Receita!$L$2:$L$170)</f>
        <v>0</v>
      </c>
      <c r="O38" s="12">
        <f>SUMIF(Mercado_Receita!$S$2:$S$170,"44621B2ConvencionalRuralServiço público de irrigação ruralNão se aplicaNão se aplicaPonta",Mercado_Receita!$L$2:$L$170)+SUMIF(Mercado_Receita!$S$2:$S$170,"44621B2ConvencionalRuralServiço público de irrigação ruralNão se aplicaNão se aplicaFora ponta",Mercado_Receita!$L$2:$L$170)+SUMIF(Mercado_Receita!$S$2:$S$170,"44621B2ConvencionalRuralServiço público de irrigação ruralNão se aplicaNão se aplicaIntermediário",Mercado_Receita!$L$2:$L$170)+SUMIF(Mercado_Receita!$S$2:$S$170,"44621B2ConvencionalRuralServiço público de irrigação ruralNão se aplicaNão se aplicaNão se aplica",Mercado_Receita!$L$2:$L$170)</f>
        <v>0</v>
      </c>
      <c r="P38" s="12">
        <f>SUMIF(Mercado_Receita!$S$2:$S$170,"44652B2ConvencionalRuralServiço público de irrigação ruralNão se aplicaNão se aplicaPonta",Mercado_Receita!$L$2:$L$170)+SUMIF(Mercado_Receita!$S$2:$S$170,"44652B2ConvencionalRuralServiço público de irrigação ruralNão se aplicaNão se aplicaFora ponta",Mercado_Receita!$L$2:$L$170)+SUMIF(Mercado_Receita!$S$2:$S$170,"44652B2ConvencionalRuralServiço público de irrigação ruralNão se aplicaNão se aplicaIntermediário",Mercado_Receita!$L$2:$L$170)+SUMIF(Mercado_Receita!$S$2:$S$170,"44652B2ConvencionalRuralServiço público de irrigação ruralNão se aplicaNão se aplicaNão se aplica",Mercado_Receita!$L$2:$L$170)</f>
        <v>0</v>
      </c>
      <c r="Q38" s="12">
        <f>SUMIF(Mercado_Receita!$S$2:$S$170,"44682B2ConvencionalRuralServiço público de irrigação ruralNão se aplicaNão se aplicaPonta",Mercado_Receita!$L$2:$L$170)+SUMIF(Mercado_Receita!$S$2:$S$170,"44682B2ConvencionalRuralServiço público de irrigação ruralNão se aplicaNão se aplicaFora ponta",Mercado_Receita!$L$2:$L$170)+SUMIF(Mercado_Receita!$S$2:$S$170,"44682B2ConvencionalRuralServiço público de irrigação ruralNão se aplicaNão se aplicaIntermediário",Mercado_Receita!$L$2:$L$170)+SUMIF(Mercado_Receita!$S$2:$S$170,"44682B2ConvencionalRuralServiço público de irrigação ruralNão se aplicaNão se aplicaNão se aplica",Mercado_Receita!$L$2:$L$170)</f>
        <v>0</v>
      </c>
      <c r="R38" s="12">
        <f>SUMIF(Mercado_Receita!$S$2:$S$170,"44713B2ConvencionalRuralServiço público de irrigação ruralNão se aplicaNão se aplicaPonta",Mercado_Receita!$L$2:$L$170)+SUMIF(Mercado_Receita!$S$2:$S$170,"44713B2ConvencionalRuralServiço público de irrigação ruralNão se aplicaNão se aplicaFora ponta",Mercado_Receita!$L$2:$L$170)+SUMIF(Mercado_Receita!$S$2:$S$170,"44713B2ConvencionalRuralServiço público de irrigação ruralNão se aplicaNão se aplicaIntermediário",Mercado_Receita!$L$2:$L$170)+SUMIF(Mercado_Receita!$S$2:$S$170,"44713B2ConvencionalRuralServiço público de irrigação ruralNão se aplicaNão se aplicaNão se aplica",Mercado_Receita!$L$2:$L$170)</f>
        <v>0</v>
      </c>
      <c r="S38" s="12">
        <f>SUMIF(Mercado_Receita!$S$2:$S$170,"44743B2ConvencionalRuralServiço público de irrigação ruralNão se aplicaNão se aplicaPonta",Mercado_Receita!$L$2:$L$170)+SUMIF(Mercado_Receita!$S$2:$S$170,"44743B2ConvencionalRuralServiço público de irrigação ruralNão se aplicaNão se aplicaFora ponta",Mercado_Receita!$L$2:$L$170)+SUMIF(Mercado_Receita!$S$2:$S$170,"44743B2ConvencionalRuralServiço público de irrigação ruralNão se aplicaNão se aplicaIntermediário",Mercado_Receita!$L$2:$L$170)+SUMIF(Mercado_Receita!$S$2:$S$170,"44743B2ConvencionalRuralServiço público de irrigação ruralNão se aplicaNão se aplicaNão se aplica",Mercado_Receita!$L$2:$L$170)</f>
        <v>0</v>
      </c>
      <c r="T38" s="12">
        <f>SUMIF(Mercado_Receita!$S$2:$S$170,"44774B2ConvencionalRuralServiço público de irrigação ruralNão se aplicaNão se aplicaPonta",Mercado_Receita!$L$2:$L$170)+SUMIF(Mercado_Receita!$S$2:$S$170,"44774B2ConvencionalRuralServiço público de irrigação ruralNão se aplicaNão se aplicaFora ponta",Mercado_Receita!$L$2:$L$170)+SUMIF(Mercado_Receita!$S$2:$S$170,"44774B2ConvencionalRuralServiço público de irrigação ruralNão se aplicaNão se aplicaIntermediário",Mercado_Receita!$L$2:$L$170)+SUMIF(Mercado_Receita!$S$2:$S$170,"44774B2ConvencionalRuralServiço público de irrigação ruralNão se aplicaNão se aplicaNão se aplica",Mercado_Receita!$L$2:$L$170)</f>
        <v>0</v>
      </c>
      <c r="U38" s="12">
        <f t="shared" si="0"/>
        <v>0</v>
      </c>
      <c r="V38" s="12"/>
      <c r="W38" s="12"/>
    </row>
    <row r="39" spans="1:23" ht="11.25" customHeight="1" x14ac:dyDescent="0.25">
      <c r="A39" s="90"/>
      <c r="B39" s="89" t="s">
        <v>79</v>
      </c>
      <c r="C39" s="89" t="s">
        <v>40</v>
      </c>
      <c r="D39" s="13" t="s">
        <v>25</v>
      </c>
      <c r="E39" s="13" t="s">
        <v>25</v>
      </c>
      <c r="F39" s="13" t="s">
        <v>25</v>
      </c>
      <c r="G39" s="12" t="s">
        <v>69</v>
      </c>
      <c r="H39" s="12" t="s">
        <v>63</v>
      </c>
      <c r="I39" s="12">
        <f>SUMIF(Mercado_Receita!$S$2:$S$170,"44440B2Convencional pré-pagamentoRuralNão se aplicaNão se aplicaNão se aplicaPonta",Mercado_Receita!$L$2:$L$170)+SUMIF(Mercado_Receita!$S$2:$S$170,"44440B2Convencional pré-pagamentoRuralNão se aplicaNão se aplicaNão se aplicaFora ponta",Mercado_Receita!$L$2:$L$170)+SUMIF(Mercado_Receita!$S$2:$S$170,"44440B2Convencional pré-pagamentoRuralNão se aplicaNão se aplicaNão se aplicaIntermediário",Mercado_Receita!$L$2:$L$170)+SUMIF(Mercado_Receita!$S$2:$S$170,"44440B2Convencional pré-pagamentoRuralNão se aplicaNão se aplicaNão se aplicaNão se aplica",Mercado_Receita!$L$2:$L$170)</f>
        <v>0</v>
      </c>
      <c r="J39" s="12">
        <f>SUMIF(Mercado_Receita!$S$2:$S$170,"44470B2Convencional pré-pagamentoRuralNão se aplicaNão se aplicaNão se aplicaPonta",Mercado_Receita!$L$2:$L$170)+SUMIF(Mercado_Receita!$S$2:$S$170,"44470B2Convencional pré-pagamentoRuralNão se aplicaNão se aplicaNão se aplicaFora ponta",Mercado_Receita!$L$2:$L$170)+SUMIF(Mercado_Receita!$S$2:$S$170,"44470B2Convencional pré-pagamentoRuralNão se aplicaNão se aplicaNão se aplicaIntermediário",Mercado_Receita!$L$2:$L$170)+SUMIF(Mercado_Receita!$S$2:$S$170,"44470B2Convencional pré-pagamentoRuralNão se aplicaNão se aplicaNão se aplicaNão se aplica",Mercado_Receita!$L$2:$L$170)</f>
        <v>0</v>
      </c>
      <c r="K39" s="12">
        <f>SUMIF(Mercado_Receita!$S$2:$S$170,"44501B2Convencional pré-pagamentoRuralNão se aplicaNão se aplicaNão se aplicaPonta",Mercado_Receita!$L$2:$L$170)+SUMIF(Mercado_Receita!$S$2:$S$170,"44501B2Convencional pré-pagamentoRuralNão se aplicaNão se aplicaNão se aplicaFora ponta",Mercado_Receita!$L$2:$L$170)+SUMIF(Mercado_Receita!$S$2:$S$170,"44501B2Convencional pré-pagamentoRuralNão se aplicaNão se aplicaNão se aplicaIntermediário",Mercado_Receita!$L$2:$L$170)+SUMIF(Mercado_Receita!$S$2:$S$170,"44501B2Convencional pré-pagamentoRuralNão se aplicaNão se aplicaNão se aplicaNão se aplica",Mercado_Receita!$L$2:$L$170)</f>
        <v>0</v>
      </c>
      <c r="L39" s="12">
        <f>SUMIF(Mercado_Receita!$S$2:$S$170,"44531B2Convencional pré-pagamentoRuralNão se aplicaNão se aplicaNão se aplicaPonta",Mercado_Receita!$L$2:$L$170)+SUMIF(Mercado_Receita!$S$2:$S$170,"44531B2Convencional pré-pagamentoRuralNão se aplicaNão se aplicaNão se aplicaFora ponta",Mercado_Receita!$L$2:$L$170)+SUMIF(Mercado_Receita!$S$2:$S$170,"44531B2Convencional pré-pagamentoRuralNão se aplicaNão se aplicaNão se aplicaIntermediário",Mercado_Receita!$L$2:$L$170)+SUMIF(Mercado_Receita!$S$2:$S$170,"44531B2Convencional pré-pagamentoRuralNão se aplicaNão se aplicaNão se aplicaNão se aplica",Mercado_Receita!$L$2:$L$170)</f>
        <v>0</v>
      </c>
      <c r="M39" s="12">
        <f>SUMIF(Mercado_Receita!$S$2:$S$170,"44562B2Convencional pré-pagamentoRuralNão se aplicaNão se aplicaNão se aplicaPonta",Mercado_Receita!$L$2:$L$170)+SUMIF(Mercado_Receita!$S$2:$S$170,"44562B2Convencional pré-pagamentoRuralNão se aplicaNão se aplicaNão se aplicaFora ponta",Mercado_Receita!$L$2:$L$170)+SUMIF(Mercado_Receita!$S$2:$S$170,"44562B2Convencional pré-pagamentoRuralNão se aplicaNão se aplicaNão se aplicaIntermediário",Mercado_Receita!$L$2:$L$170)+SUMIF(Mercado_Receita!$S$2:$S$170,"44562B2Convencional pré-pagamentoRuralNão se aplicaNão se aplicaNão se aplicaNão se aplica",Mercado_Receita!$L$2:$L$170)</f>
        <v>0</v>
      </c>
      <c r="N39" s="12">
        <f>SUMIF(Mercado_Receita!$S$2:$S$170,"44593B2Convencional pré-pagamentoRuralNão se aplicaNão se aplicaNão se aplicaPonta",Mercado_Receita!$L$2:$L$170)+SUMIF(Mercado_Receita!$S$2:$S$170,"44593B2Convencional pré-pagamentoRuralNão se aplicaNão se aplicaNão se aplicaFora ponta",Mercado_Receita!$L$2:$L$170)+SUMIF(Mercado_Receita!$S$2:$S$170,"44593B2Convencional pré-pagamentoRuralNão se aplicaNão se aplicaNão se aplicaIntermediário",Mercado_Receita!$L$2:$L$170)+SUMIF(Mercado_Receita!$S$2:$S$170,"44593B2Convencional pré-pagamentoRuralNão se aplicaNão se aplicaNão se aplicaNão se aplica",Mercado_Receita!$L$2:$L$170)</f>
        <v>0</v>
      </c>
      <c r="O39" s="12">
        <f>SUMIF(Mercado_Receita!$S$2:$S$170,"44621B2Convencional pré-pagamentoRuralNão se aplicaNão se aplicaNão se aplicaPonta",Mercado_Receita!$L$2:$L$170)+SUMIF(Mercado_Receita!$S$2:$S$170,"44621B2Convencional pré-pagamentoRuralNão se aplicaNão se aplicaNão se aplicaFora ponta",Mercado_Receita!$L$2:$L$170)+SUMIF(Mercado_Receita!$S$2:$S$170,"44621B2Convencional pré-pagamentoRuralNão se aplicaNão se aplicaNão se aplicaIntermediário",Mercado_Receita!$L$2:$L$170)+SUMIF(Mercado_Receita!$S$2:$S$170,"44621B2Convencional pré-pagamentoRuralNão se aplicaNão se aplicaNão se aplicaNão se aplica",Mercado_Receita!$L$2:$L$170)</f>
        <v>0</v>
      </c>
      <c r="P39" s="12">
        <f>SUMIF(Mercado_Receita!$S$2:$S$170,"44652B2Convencional pré-pagamentoRuralNão se aplicaNão se aplicaNão se aplicaPonta",Mercado_Receita!$L$2:$L$170)+SUMIF(Mercado_Receita!$S$2:$S$170,"44652B2Convencional pré-pagamentoRuralNão se aplicaNão se aplicaNão se aplicaFora ponta",Mercado_Receita!$L$2:$L$170)+SUMIF(Mercado_Receita!$S$2:$S$170,"44652B2Convencional pré-pagamentoRuralNão se aplicaNão se aplicaNão se aplicaIntermediário",Mercado_Receita!$L$2:$L$170)+SUMIF(Mercado_Receita!$S$2:$S$170,"44652B2Convencional pré-pagamentoRuralNão se aplicaNão se aplicaNão se aplicaNão se aplica",Mercado_Receita!$L$2:$L$170)</f>
        <v>0</v>
      </c>
      <c r="Q39" s="12">
        <f>SUMIF(Mercado_Receita!$S$2:$S$170,"44682B2Convencional pré-pagamentoRuralNão se aplicaNão se aplicaNão se aplicaPonta",Mercado_Receita!$L$2:$L$170)+SUMIF(Mercado_Receita!$S$2:$S$170,"44682B2Convencional pré-pagamentoRuralNão se aplicaNão se aplicaNão se aplicaFora ponta",Mercado_Receita!$L$2:$L$170)+SUMIF(Mercado_Receita!$S$2:$S$170,"44682B2Convencional pré-pagamentoRuralNão se aplicaNão se aplicaNão se aplicaIntermediário",Mercado_Receita!$L$2:$L$170)+SUMIF(Mercado_Receita!$S$2:$S$170,"44682B2Convencional pré-pagamentoRuralNão se aplicaNão se aplicaNão se aplicaNão se aplica",Mercado_Receita!$L$2:$L$170)</f>
        <v>0</v>
      </c>
      <c r="R39" s="12">
        <f>SUMIF(Mercado_Receita!$S$2:$S$170,"44713B2Convencional pré-pagamentoRuralNão se aplicaNão se aplicaNão se aplicaPonta",Mercado_Receita!$L$2:$L$170)+SUMIF(Mercado_Receita!$S$2:$S$170,"44713B2Convencional pré-pagamentoRuralNão se aplicaNão se aplicaNão se aplicaFora ponta",Mercado_Receita!$L$2:$L$170)+SUMIF(Mercado_Receita!$S$2:$S$170,"44713B2Convencional pré-pagamentoRuralNão se aplicaNão se aplicaNão se aplicaIntermediário",Mercado_Receita!$L$2:$L$170)+SUMIF(Mercado_Receita!$S$2:$S$170,"44713B2Convencional pré-pagamentoRuralNão se aplicaNão se aplicaNão se aplicaNão se aplica",Mercado_Receita!$L$2:$L$170)</f>
        <v>0</v>
      </c>
      <c r="S39" s="12">
        <f>SUMIF(Mercado_Receita!$S$2:$S$170,"44743B2Convencional pré-pagamentoRuralNão se aplicaNão se aplicaNão se aplicaPonta",Mercado_Receita!$L$2:$L$170)+SUMIF(Mercado_Receita!$S$2:$S$170,"44743B2Convencional pré-pagamentoRuralNão se aplicaNão se aplicaNão se aplicaFora ponta",Mercado_Receita!$L$2:$L$170)+SUMIF(Mercado_Receita!$S$2:$S$170,"44743B2Convencional pré-pagamentoRuralNão se aplicaNão se aplicaNão se aplicaIntermediário",Mercado_Receita!$L$2:$L$170)+SUMIF(Mercado_Receita!$S$2:$S$170,"44743B2Convencional pré-pagamentoRuralNão se aplicaNão se aplicaNão se aplicaNão se aplica",Mercado_Receita!$L$2:$L$170)</f>
        <v>0</v>
      </c>
      <c r="T39" s="12">
        <f>SUMIF(Mercado_Receita!$S$2:$S$170,"44774B2Convencional pré-pagamentoRuralNão se aplicaNão se aplicaNão se aplicaPonta",Mercado_Receita!$L$2:$L$170)+SUMIF(Mercado_Receita!$S$2:$S$170,"44774B2Convencional pré-pagamentoRuralNão se aplicaNão se aplicaNão se aplicaFora ponta",Mercado_Receita!$L$2:$L$170)+SUMIF(Mercado_Receita!$S$2:$S$170,"44774B2Convencional pré-pagamentoRuralNão se aplicaNão se aplicaNão se aplicaIntermediário",Mercado_Receita!$L$2:$L$170)+SUMIF(Mercado_Receita!$S$2:$S$170,"44774B2Convencional pré-pagamentoRuralNão se aplicaNão se aplicaNão se aplicaNão se aplica",Mercado_Receita!$L$2:$L$170)</f>
        <v>0</v>
      </c>
      <c r="U39" s="12">
        <f t="shared" si="0"/>
        <v>0</v>
      </c>
      <c r="V39" s="12"/>
      <c r="W39" s="12"/>
    </row>
    <row r="40" spans="1:23" ht="11.25" customHeight="1" x14ac:dyDescent="0.25">
      <c r="A40" s="90"/>
      <c r="B40" s="90"/>
      <c r="C40" s="90"/>
      <c r="D40" s="13" t="s">
        <v>80</v>
      </c>
      <c r="E40" s="13" t="s">
        <v>25</v>
      </c>
      <c r="F40" s="13" t="s">
        <v>25</v>
      </c>
      <c r="G40" s="12" t="s">
        <v>69</v>
      </c>
      <c r="H40" s="12" t="s">
        <v>63</v>
      </c>
      <c r="I40" s="12">
        <f>SUMIF(Mercado_Receita!$S$2:$S$170,"44440B2Convencional pré-pagamentoRuralCooperativa de eletrificação ruralNão se aplicaNão se aplicaPonta",Mercado_Receita!$L$2:$L$170)+SUMIF(Mercado_Receita!$S$2:$S$170,"44440B2Convencional pré-pagamentoRuralCooperativa de eletrificação ruralNão se aplicaNão se aplicaFora ponta",Mercado_Receita!$L$2:$L$170)+SUMIF(Mercado_Receita!$S$2:$S$170,"44440B2Convencional pré-pagamentoRuralCooperativa de eletrificação ruralNão se aplicaNão se aplicaIntermediário",Mercado_Receita!$L$2:$L$170)+SUMIF(Mercado_Receita!$S$2:$S$170,"44440B2Convencional pré-pagamentoRuralCooperativa de eletrificação ruralNão se aplicaNão se aplicaNão se aplica",Mercado_Receita!$L$2:$L$170)</f>
        <v>0</v>
      </c>
      <c r="J40" s="12">
        <f>SUMIF(Mercado_Receita!$S$2:$S$170,"44470B2Convencional pré-pagamentoRuralCooperativa de eletrificação ruralNão se aplicaNão se aplicaPonta",Mercado_Receita!$L$2:$L$170)+SUMIF(Mercado_Receita!$S$2:$S$170,"44470B2Convencional pré-pagamentoRuralCooperativa de eletrificação ruralNão se aplicaNão se aplicaFora ponta",Mercado_Receita!$L$2:$L$170)+SUMIF(Mercado_Receita!$S$2:$S$170,"44470B2Convencional pré-pagamentoRuralCooperativa de eletrificação ruralNão se aplicaNão se aplicaIntermediário",Mercado_Receita!$L$2:$L$170)+SUMIF(Mercado_Receita!$S$2:$S$170,"44470B2Convencional pré-pagamentoRuralCooperativa de eletrificação ruralNão se aplicaNão se aplicaNão se aplica",Mercado_Receita!$L$2:$L$170)</f>
        <v>0</v>
      </c>
      <c r="K40" s="12">
        <f>SUMIF(Mercado_Receita!$S$2:$S$170,"44501B2Convencional pré-pagamentoRuralCooperativa de eletrificação ruralNão se aplicaNão se aplicaPonta",Mercado_Receita!$L$2:$L$170)+SUMIF(Mercado_Receita!$S$2:$S$170,"44501B2Convencional pré-pagamentoRuralCooperativa de eletrificação ruralNão se aplicaNão se aplicaFora ponta",Mercado_Receita!$L$2:$L$170)+SUMIF(Mercado_Receita!$S$2:$S$170,"44501B2Convencional pré-pagamentoRuralCooperativa de eletrificação ruralNão se aplicaNão se aplicaIntermediário",Mercado_Receita!$L$2:$L$170)+SUMIF(Mercado_Receita!$S$2:$S$170,"44501B2Convencional pré-pagamentoRuralCooperativa de eletrificação ruralNão se aplicaNão se aplicaNão se aplica",Mercado_Receita!$L$2:$L$170)</f>
        <v>0</v>
      </c>
      <c r="L40" s="12">
        <f>SUMIF(Mercado_Receita!$S$2:$S$170,"44531B2Convencional pré-pagamentoRuralCooperativa de eletrificação ruralNão se aplicaNão se aplicaPonta",Mercado_Receita!$L$2:$L$170)+SUMIF(Mercado_Receita!$S$2:$S$170,"44531B2Convencional pré-pagamentoRuralCooperativa de eletrificação ruralNão se aplicaNão se aplicaFora ponta",Mercado_Receita!$L$2:$L$170)+SUMIF(Mercado_Receita!$S$2:$S$170,"44531B2Convencional pré-pagamentoRuralCooperativa de eletrificação ruralNão se aplicaNão se aplicaIntermediário",Mercado_Receita!$L$2:$L$170)+SUMIF(Mercado_Receita!$S$2:$S$170,"44531B2Convencional pré-pagamentoRuralCooperativa de eletrificação ruralNão se aplicaNão se aplicaNão se aplica",Mercado_Receita!$L$2:$L$170)</f>
        <v>0</v>
      </c>
      <c r="M40" s="12">
        <f>SUMIF(Mercado_Receita!$S$2:$S$170,"44562B2Convencional pré-pagamentoRuralCooperativa de eletrificação ruralNão se aplicaNão se aplicaPonta",Mercado_Receita!$L$2:$L$170)+SUMIF(Mercado_Receita!$S$2:$S$170,"44562B2Convencional pré-pagamentoRuralCooperativa de eletrificação ruralNão se aplicaNão se aplicaFora ponta",Mercado_Receita!$L$2:$L$170)+SUMIF(Mercado_Receita!$S$2:$S$170,"44562B2Convencional pré-pagamentoRuralCooperativa de eletrificação ruralNão se aplicaNão se aplicaIntermediário",Mercado_Receita!$L$2:$L$170)+SUMIF(Mercado_Receita!$S$2:$S$170,"44562B2Convencional pré-pagamentoRuralCooperativa de eletrificação ruralNão se aplicaNão se aplicaNão se aplica",Mercado_Receita!$L$2:$L$170)</f>
        <v>0</v>
      </c>
      <c r="N40" s="12">
        <f>SUMIF(Mercado_Receita!$S$2:$S$170,"44593B2Convencional pré-pagamentoRuralCooperativa de eletrificação ruralNão se aplicaNão se aplicaPonta",Mercado_Receita!$L$2:$L$170)+SUMIF(Mercado_Receita!$S$2:$S$170,"44593B2Convencional pré-pagamentoRuralCooperativa de eletrificação ruralNão se aplicaNão se aplicaFora ponta",Mercado_Receita!$L$2:$L$170)+SUMIF(Mercado_Receita!$S$2:$S$170,"44593B2Convencional pré-pagamentoRuralCooperativa de eletrificação ruralNão se aplicaNão se aplicaIntermediário",Mercado_Receita!$L$2:$L$170)+SUMIF(Mercado_Receita!$S$2:$S$170,"44593B2Convencional pré-pagamentoRuralCooperativa de eletrificação ruralNão se aplicaNão se aplicaNão se aplica",Mercado_Receita!$L$2:$L$170)</f>
        <v>0</v>
      </c>
      <c r="O40" s="12">
        <f>SUMIF(Mercado_Receita!$S$2:$S$170,"44621B2Convencional pré-pagamentoRuralCooperativa de eletrificação ruralNão se aplicaNão se aplicaPonta",Mercado_Receita!$L$2:$L$170)+SUMIF(Mercado_Receita!$S$2:$S$170,"44621B2Convencional pré-pagamentoRuralCooperativa de eletrificação ruralNão se aplicaNão se aplicaFora ponta",Mercado_Receita!$L$2:$L$170)+SUMIF(Mercado_Receita!$S$2:$S$170,"44621B2Convencional pré-pagamentoRuralCooperativa de eletrificação ruralNão se aplicaNão se aplicaIntermediário",Mercado_Receita!$L$2:$L$170)+SUMIF(Mercado_Receita!$S$2:$S$170,"44621B2Convencional pré-pagamentoRuralCooperativa de eletrificação ruralNão se aplicaNão se aplicaNão se aplica",Mercado_Receita!$L$2:$L$170)</f>
        <v>0</v>
      </c>
      <c r="P40" s="12">
        <f>SUMIF(Mercado_Receita!$S$2:$S$170,"44652B2Convencional pré-pagamentoRuralCooperativa de eletrificação ruralNão se aplicaNão se aplicaPonta",Mercado_Receita!$L$2:$L$170)+SUMIF(Mercado_Receita!$S$2:$S$170,"44652B2Convencional pré-pagamentoRuralCooperativa de eletrificação ruralNão se aplicaNão se aplicaFora ponta",Mercado_Receita!$L$2:$L$170)+SUMIF(Mercado_Receita!$S$2:$S$170,"44652B2Convencional pré-pagamentoRuralCooperativa de eletrificação ruralNão se aplicaNão se aplicaIntermediário",Mercado_Receita!$L$2:$L$170)+SUMIF(Mercado_Receita!$S$2:$S$170,"44652B2Convencional pré-pagamentoRuralCooperativa de eletrificação ruralNão se aplicaNão se aplicaNão se aplica",Mercado_Receita!$L$2:$L$170)</f>
        <v>0</v>
      </c>
      <c r="Q40" s="12">
        <f>SUMIF(Mercado_Receita!$S$2:$S$170,"44682B2Convencional pré-pagamentoRuralCooperativa de eletrificação ruralNão se aplicaNão se aplicaPonta",Mercado_Receita!$L$2:$L$170)+SUMIF(Mercado_Receita!$S$2:$S$170,"44682B2Convencional pré-pagamentoRuralCooperativa de eletrificação ruralNão se aplicaNão se aplicaFora ponta",Mercado_Receita!$L$2:$L$170)+SUMIF(Mercado_Receita!$S$2:$S$170,"44682B2Convencional pré-pagamentoRuralCooperativa de eletrificação ruralNão se aplicaNão se aplicaIntermediário",Mercado_Receita!$L$2:$L$170)+SUMIF(Mercado_Receita!$S$2:$S$170,"44682B2Convencional pré-pagamentoRuralCooperativa de eletrificação ruralNão se aplicaNão se aplicaNão se aplica",Mercado_Receita!$L$2:$L$170)</f>
        <v>0</v>
      </c>
      <c r="R40" s="12">
        <f>SUMIF(Mercado_Receita!$S$2:$S$170,"44713B2Convencional pré-pagamentoRuralCooperativa de eletrificação ruralNão se aplicaNão se aplicaPonta",Mercado_Receita!$L$2:$L$170)+SUMIF(Mercado_Receita!$S$2:$S$170,"44713B2Convencional pré-pagamentoRuralCooperativa de eletrificação ruralNão se aplicaNão se aplicaFora ponta",Mercado_Receita!$L$2:$L$170)+SUMIF(Mercado_Receita!$S$2:$S$170,"44713B2Convencional pré-pagamentoRuralCooperativa de eletrificação ruralNão se aplicaNão se aplicaIntermediário",Mercado_Receita!$L$2:$L$170)+SUMIF(Mercado_Receita!$S$2:$S$170,"44713B2Convencional pré-pagamentoRuralCooperativa de eletrificação ruralNão se aplicaNão se aplicaNão se aplica",Mercado_Receita!$L$2:$L$170)</f>
        <v>0</v>
      </c>
      <c r="S40" s="12">
        <f>SUMIF(Mercado_Receita!$S$2:$S$170,"44743B2Convencional pré-pagamentoRuralCooperativa de eletrificação ruralNão se aplicaNão se aplicaPonta",Mercado_Receita!$L$2:$L$170)+SUMIF(Mercado_Receita!$S$2:$S$170,"44743B2Convencional pré-pagamentoRuralCooperativa de eletrificação ruralNão se aplicaNão se aplicaFora ponta",Mercado_Receita!$L$2:$L$170)+SUMIF(Mercado_Receita!$S$2:$S$170,"44743B2Convencional pré-pagamentoRuralCooperativa de eletrificação ruralNão se aplicaNão se aplicaIntermediário",Mercado_Receita!$L$2:$L$170)+SUMIF(Mercado_Receita!$S$2:$S$170,"44743B2Convencional pré-pagamentoRuralCooperativa de eletrificação ruralNão se aplicaNão se aplicaNão se aplica",Mercado_Receita!$L$2:$L$170)</f>
        <v>0</v>
      </c>
      <c r="T40" s="12">
        <f>SUMIF(Mercado_Receita!$S$2:$S$170,"44774B2Convencional pré-pagamentoRuralCooperativa de eletrificação ruralNão se aplicaNão se aplicaPonta",Mercado_Receita!$L$2:$L$170)+SUMIF(Mercado_Receita!$S$2:$S$170,"44774B2Convencional pré-pagamentoRuralCooperativa de eletrificação ruralNão se aplicaNão se aplicaFora ponta",Mercado_Receita!$L$2:$L$170)+SUMIF(Mercado_Receita!$S$2:$S$170,"44774B2Convencional pré-pagamentoRuralCooperativa de eletrificação ruralNão se aplicaNão se aplicaIntermediário",Mercado_Receita!$L$2:$L$170)+SUMIF(Mercado_Receita!$S$2:$S$170,"44774B2Convencional pré-pagamentoRuralCooperativa de eletrificação ruralNão se aplicaNão se aplicaNão se aplica",Mercado_Receita!$L$2:$L$170)</f>
        <v>0</v>
      </c>
      <c r="U40" s="12">
        <f t="shared" si="0"/>
        <v>0</v>
      </c>
      <c r="V40" s="12"/>
      <c r="W40" s="12"/>
    </row>
    <row r="41" spans="1:23" ht="11.25" customHeight="1" x14ac:dyDescent="0.25">
      <c r="A41" s="90"/>
      <c r="B41" s="90"/>
      <c r="C41" s="90"/>
      <c r="D41" s="13" t="s">
        <v>81</v>
      </c>
      <c r="E41" s="13" t="s">
        <v>25</v>
      </c>
      <c r="F41" s="13" t="s">
        <v>25</v>
      </c>
      <c r="G41" s="12" t="s">
        <v>69</v>
      </c>
      <c r="H41" s="12" t="s">
        <v>63</v>
      </c>
      <c r="I41" s="12">
        <f>SUMIF(Mercado_Receita!$S$2:$S$170,"44440B2Convencional pré-pagamentoRuralServiço público de irrigação ruralNão se aplicaNão se aplicaPonta",Mercado_Receita!$L$2:$L$170)+SUMIF(Mercado_Receita!$S$2:$S$170,"44440B2Convencional pré-pagamentoRuralServiço público de irrigação ruralNão se aplicaNão se aplicaFora ponta",Mercado_Receita!$L$2:$L$170)+SUMIF(Mercado_Receita!$S$2:$S$170,"44440B2Convencional pré-pagamentoRuralServiço público de irrigação ruralNão se aplicaNão se aplicaIntermediário",Mercado_Receita!$L$2:$L$170)+SUMIF(Mercado_Receita!$S$2:$S$170,"44440B2Convencional pré-pagamentoRuralServiço público de irrigação ruralNão se aplicaNão se aplicaNão se aplica",Mercado_Receita!$L$2:$L$170)</f>
        <v>0</v>
      </c>
      <c r="J41" s="12">
        <f>SUMIF(Mercado_Receita!$S$2:$S$170,"44470B2Convencional pré-pagamentoRuralServiço público de irrigação ruralNão se aplicaNão se aplicaPonta",Mercado_Receita!$L$2:$L$170)+SUMIF(Mercado_Receita!$S$2:$S$170,"44470B2Convencional pré-pagamentoRuralServiço público de irrigação ruralNão se aplicaNão se aplicaFora ponta",Mercado_Receita!$L$2:$L$170)+SUMIF(Mercado_Receita!$S$2:$S$170,"44470B2Convencional pré-pagamentoRuralServiço público de irrigação ruralNão se aplicaNão se aplicaIntermediário",Mercado_Receita!$L$2:$L$170)+SUMIF(Mercado_Receita!$S$2:$S$170,"44470B2Convencional pré-pagamentoRuralServiço público de irrigação ruralNão se aplicaNão se aplicaNão se aplica",Mercado_Receita!$L$2:$L$170)</f>
        <v>0</v>
      </c>
      <c r="K41" s="12">
        <f>SUMIF(Mercado_Receita!$S$2:$S$170,"44501B2Convencional pré-pagamentoRuralServiço público de irrigação ruralNão se aplicaNão se aplicaPonta",Mercado_Receita!$L$2:$L$170)+SUMIF(Mercado_Receita!$S$2:$S$170,"44501B2Convencional pré-pagamentoRuralServiço público de irrigação ruralNão se aplicaNão se aplicaFora ponta",Mercado_Receita!$L$2:$L$170)+SUMIF(Mercado_Receita!$S$2:$S$170,"44501B2Convencional pré-pagamentoRuralServiço público de irrigação ruralNão se aplicaNão se aplicaIntermediário",Mercado_Receita!$L$2:$L$170)+SUMIF(Mercado_Receita!$S$2:$S$170,"44501B2Convencional pré-pagamentoRuralServiço público de irrigação ruralNão se aplicaNão se aplicaNão se aplica",Mercado_Receita!$L$2:$L$170)</f>
        <v>0</v>
      </c>
      <c r="L41" s="12">
        <f>SUMIF(Mercado_Receita!$S$2:$S$170,"44531B2Convencional pré-pagamentoRuralServiço público de irrigação ruralNão se aplicaNão se aplicaPonta",Mercado_Receita!$L$2:$L$170)+SUMIF(Mercado_Receita!$S$2:$S$170,"44531B2Convencional pré-pagamentoRuralServiço público de irrigação ruralNão se aplicaNão se aplicaFora ponta",Mercado_Receita!$L$2:$L$170)+SUMIF(Mercado_Receita!$S$2:$S$170,"44531B2Convencional pré-pagamentoRuralServiço público de irrigação ruralNão se aplicaNão se aplicaIntermediário",Mercado_Receita!$L$2:$L$170)+SUMIF(Mercado_Receita!$S$2:$S$170,"44531B2Convencional pré-pagamentoRuralServiço público de irrigação ruralNão se aplicaNão se aplicaNão se aplica",Mercado_Receita!$L$2:$L$170)</f>
        <v>0</v>
      </c>
      <c r="M41" s="12">
        <f>SUMIF(Mercado_Receita!$S$2:$S$170,"44562B2Convencional pré-pagamentoRuralServiço público de irrigação ruralNão se aplicaNão se aplicaPonta",Mercado_Receita!$L$2:$L$170)+SUMIF(Mercado_Receita!$S$2:$S$170,"44562B2Convencional pré-pagamentoRuralServiço público de irrigação ruralNão se aplicaNão se aplicaFora ponta",Mercado_Receita!$L$2:$L$170)+SUMIF(Mercado_Receita!$S$2:$S$170,"44562B2Convencional pré-pagamentoRuralServiço público de irrigação ruralNão se aplicaNão se aplicaIntermediário",Mercado_Receita!$L$2:$L$170)+SUMIF(Mercado_Receita!$S$2:$S$170,"44562B2Convencional pré-pagamentoRuralServiço público de irrigação ruralNão se aplicaNão se aplicaNão se aplica",Mercado_Receita!$L$2:$L$170)</f>
        <v>0</v>
      </c>
      <c r="N41" s="12">
        <f>SUMIF(Mercado_Receita!$S$2:$S$170,"44593B2Convencional pré-pagamentoRuralServiço público de irrigação ruralNão se aplicaNão se aplicaPonta",Mercado_Receita!$L$2:$L$170)+SUMIF(Mercado_Receita!$S$2:$S$170,"44593B2Convencional pré-pagamentoRuralServiço público de irrigação ruralNão se aplicaNão se aplicaFora ponta",Mercado_Receita!$L$2:$L$170)+SUMIF(Mercado_Receita!$S$2:$S$170,"44593B2Convencional pré-pagamentoRuralServiço público de irrigação ruralNão se aplicaNão se aplicaIntermediário",Mercado_Receita!$L$2:$L$170)+SUMIF(Mercado_Receita!$S$2:$S$170,"44593B2Convencional pré-pagamentoRuralServiço público de irrigação ruralNão se aplicaNão se aplicaNão se aplica",Mercado_Receita!$L$2:$L$170)</f>
        <v>0</v>
      </c>
      <c r="O41" s="12">
        <f>SUMIF(Mercado_Receita!$S$2:$S$170,"44621B2Convencional pré-pagamentoRuralServiço público de irrigação ruralNão se aplicaNão se aplicaPonta",Mercado_Receita!$L$2:$L$170)+SUMIF(Mercado_Receita!$S$2:$S$170,"44621B2Convencional pré-pagamentoRuralServiço público de irrigação ruralNão se aplicaNão se aplicaFora ponta",Mercado_Receita!$L$2:$L$170)+SUMIF(Mercado_Receita!$S$2:$S$170,"44621B2Convencional pré-pagamentoRuralServiço público de irrigação ruralNão se aplicaNão se aplicaIntermediário",Mercado_Receita!$L$2:$L$170)+SUMIF(Mercado_Receita!$S$2:$S$170,"44621B2Convencional pré-pagamentoRuralServiço público de irrigação ruralNão se aplicaNão se aplicaNão se aplica",Mercado_Receita!$L$2:$L$170)</f>
        <v>0</v>
      </c>
      <c r="P41" s="12">
        <f>SUMIF(Mercado_Receita!$S$2:$S$170,"44652B2Convencional pré-pagamentoRuralServiço público de irrigação ruralNão se aplicaNão se aplicaPonta",Mercado_Receita!$L$2:$L$170)+SUMIF(Mercado_Receita!$S$2:$S$170,"44652B2Convencional pré-pagamentoRuralServiço público de irrigação ruralNão se aplicaNão se aplicaFora ponta",Mercado_Receita!$L$2:$L$170)+SUMIF(Mercado_Receita!$S$2:$S$170,"44652B2Convencional pré-pagamentoRuralServiço público de irrigação ruralNão se aplicaNão se aplicaIntermediário",Mercado_Receita!$L$2:$L$170)+SUMIF(Mercado_Receita!$S$2:$S$170,"44652B2Convencional pré-pagamentoRuralServiço público de irrigação ruralNão se aplicaNão se aplicaNão se aplica",Mercado_Receita!$L$2:$L$170)</f>
        <v>0</v>
      </c>
      <c r="Q41" s="12">
        <f>SUMIF(Mercado_Receita!$S$2:$S$170,"44682B2Convencional pré-pagamentoRuralServiço público de irrigação ruralNão se aplicaNão se aplicaPonta",Mercado_Receita!$L$2:$L$170)+SUMIF(Mercado_Receita!$S$2:$S$170,"44682B2Convencional pré-pagamentoRuralServiço público de irrigação ruralNão se aplicaNão se aplicaFora ponta",Mercado_Receita!$L$2:$L$170)+SUMIF(Mercado_Receita!$S$2:$S$170,"44682B2Convencional pré-pagamentoRuralServiço público de irrigação ruralNão se aplicaNão se aplicaIntermediário",Mercado_Receita!$L$2:$L$170)+SUMIF(Mercado_Receita!$S$2:$S$170,"44682B2Convencional pré-pagamentoRuralServiço público de irrigação ruralNão se aplicaNão se aplicaNão se aplica",Mercado_Receita!$L$2:$L$170)</f>
        <v>0</v>
      </c>
      <c r="R41" s="12">
        <f>SUMIF(Mercado_Receita!$S$2:$S$170,"44713B2Convencional pré-pagamentoRuralServiço público de irrigação ruralNão se aplicaNão se aplicaPonta",Mercado_Receita!$L$2:$L$170)+SUMIF(Mercado_Receita!$S$2:$S$170,"44713B2Convencional pré-pagamentoRuralServiço público de irrigação ruralNão se aplicaNão se aplicaFora ponta",Mercado_Receita!$L$2:$L$170)+SUMIF(Mercado_Receita!$S$2:$S$170,"44713B2Convencional pré-pagamentoRuralServiço público de irrigação ruralNão se aplicaNão se aplicaIntermediário",Mercado_Receita!$L$2:$L$170)+SUMIF(Mercado_Receita!$S$2:$S$170,"44713B2Convencional pré-pagamentoRuralServiço público de irrigação ruralNão se aplicaNão se aplicaNão se aplica",Mercado_Receita!$L$2:$L$170)</f>
        <v>0</v>
      </c>
      <c r="S41" s="12">
        <f>SUMIF(Mercado_Receita!$S$2:$S$170,"44743B2Convencional pré-pagamentoRuralServiço público de irrigação ruralNão se aplicaNão se aplicaPonta",Mercado_Receita!$L$2:$L$170)+SUMIF(Mercado_Receita!$S$2:$S$170,"44743B2Convencional pré-pagamentoRuralServiço público de irrigação ruralNão se aplicaNão se aplicaFora ponta",Mercado_Receita!$L$2:$L$170)+SUMIF(Mercado_Receita!$S$2:$S$170,"44743B2Convencional pré-pagamentoRuralServiço público de irrigação ruralNão se aplicaNão se aplicaIntermediário",Mercado_Receita!$L$2:$L$170)+SUMIF(Mercado_Receita!$S$2:$S$170,"44743B2Convencional pré-pagamentoRuralServiço público de irrigação ruralNão se aplicaNão se aplicaNão se aplica",Mercado_Receita!$L$2:$L$170)</f>
        <v>0</v>
      </c>
      <c r="T41" s="12">
        <f>SUMIF(Mercado_Receita!$S$2:$S$170,"44774B2Convencional pré-pagamentoRuralServiço público de irrigação ruralNão se aplicaNão se aplicaPonta",Mercado_Receita!$L$2:$L$170)+SUMIF(Mercado_Receita!$S$2:$S$170,"44774B2Convencional pré-pagamentoRuralServiço público de irrigação ruralNão se aplicaNão se aplicaFora ponta",Mercado_Receita!$L$2:$L$170)+SUMIF(Mercado_Receita!$S$2:$S$170,"44774B2Convencional pré-pagamentoRuralServiço público de irrigação ruralNão se aplicaNão se aplicaIntermediário",Mercado_Receita!$L$2:$L$170)+SUMIF(Mercado_Receita!$S$2:$S$170,"44774B2Convencional pré-pagamentoRuralServiço público de irrigação ruralNão se aplicaNão se aplicaNão se aplica",Mercado_Receita!$L$2:$L$170)</f>
        <v>0</v>
      </c>
      <c r="U41" s="12">
        <f t="shared" si="0"/>
        <v>0</v>
      </c>
      <c r="V41" s="12"/>
      <c r="W41" s="12"/>
    </row>
    <row r="42" spans="1:23" ht="11.25" customHeight="1" x14ac:dyDescent="0.25">
      <c r="A42" s="89" t="s">
        <v>31</v>
      </c>
      <c r="B42" s="89" t="s">
        <v>77</v>
      </c>
      <c r="C42" s="89" t="s">
        <v>25</v>
      </c>
      <c r="D42" s="89" t="s">
        <v>25</v>
      </c>
      <c r="E42" s="89" t="s">
        <v>25</v>
      </c>
      <c r="F42" s="89" t="s">
        <v>25</v>
      </c>
      <c r="G42" s="12" t="s">
        <v>64</v>
      </c>
      <c r="H42" s="12" t="s">
        <v>63</v>
      </c>
      <c r="I42" s="12">
        <f>SUMIF(Mercado_Receita!$S$2:$S$170,"44440B3BrancaNão se aplicaNão se aplicaNão se aplicaNão se aplicaPonta",Mercado_Receita!$L$2:$L$170)</f>
        <v>0</v>
      </c>
      <c r="J42" s="12">
        <f>SUMIF(Mercado_Receita!$S$2:$S$170,"44470B3BrancaNão se aplicaNão se aplicaNão se aplicaNão se aplicaPonta",Mercado_Receita!$L$2:$L$170)</f>
        <v>0</v>
      </c>
      <c r="K42" s="12">
        <f>SUMIF(Mercado_Receita!$S$2:$S$170,"44501B3BrancaNão se aplicaNão se aplicaNão se aplicaNão se aplicaPonta",Mercado_Receita!$L$2:$L$170)</f>
        <v>0</v>
      </c>
      <c r="L42" s="12">
        <f>SUMIF(Mercado_Receita!$S$2:$S$170,"44531B3BrancaNão se aplicaNão se aplicaNão se aplicaNão se aplicaPonta",Mercado_Receita!$L$2:$L$170)</f>
        <v>0</v>
      </c>
      <c r="M42" s="12">
        <f>SUMIF(Mercado_Receita!$S$2:$S$170,"44562B3BrancaNão se aplicaNão se aplicaNão se aplicaNão se aplicaPonta",Mercado_Receita!$L$2:$L$170)</f>
        <v>0</v>
      </c>
      <c r="N42" s="12">
        <f>SUMIF(Mercado_Receita!$S$2:$S$170,"44593B3BrancaNão se aplicaNão se aplicaNão se aplicaNão se aplicaPonta",Mercado_Receita!$L$2:$L$170)</f>
        <v>0</v>
      </c>
      <c r="O42" s="12">
        <f>SUMIF(Mercado_Receita!$S$2:$S$170,"44621B3BrancaNão se aplicaNão se aplicaNão se aplicaNão se aplicaPonta",Mercado_Receita!$L$2:$L$170)</f>
        <v>0</v>
      </c>
      <c r="P42" s="12">
        <f>SUMIF(Mercado_Receita!$S$2:$S$170,"44652B3BrancaNão se aplicaNão se aplicaNão se aplicaNão se aplicaPonta",Mercado_Receita!$L$2:$L$170)</f>
        <v>0</v>
      </c>
      <c r="Q42" s="12">
        <f>SUMIF(Mercado_Receita!$S$2:$S$170,"44682B3BrancaNão se aplicaNão se aplicaNão se aplicaNão se aplicaPonta",Mercado_Receita!$L$2:$L$170)</f>
        <v>0</v>
      </c>
      <c r="R42" s="12">
        <f>SUMIF(Mercado_Receita!$S$2:$S$170,"44713B3BrancaNão se aplicaNão se aplicaNão se aplicaNão se aplicaPonta",Mercado_Receita!$L$2:$L$170)</f>
        <v>0</v>
      </c>
      <c r="S42" s="12">
        <f>SUMIF(Mercado_Receita!$S$2:$S$170,"44743B3BrancaNão se aplicaNão se aplicaNão se aplicaNão se aplicaPonta",Mercado_Receita!$L$2:$L$170)</f>
        <v>0</v>
      </c>
      <c r="T42" s="12">
        <f>SUMIF(Mercado_Receita!$S$2:$S$170,"44774B3BrancaNão se aplicaNão se aplicaNão se aplicaNão se aplicaPonta",Mercado_Receita!$L$2:$L$170)</f>
        <v>0</v>
      </c>
      <c r="U42" s="12">
        <f t="shared" si="0"/>
        <v>0</v>
      </c>
      <c r="V42" s="12"/>
      <c r="W42" s="12"/>
    </row>
    <row r="43" spans="1:23" ht="11.25" customHeight="1" x14ac:dyDescent="0.25">
      <c r="A43" s="90"/>
      <c r="B43" s="90"/>
      <c r="C43" s="90"/>
      <c r="D43" s="90"/>
      <c r="E43" s="90"/>
      <c r="F43" s="90"/>
      <c r="G43" s="12" t="s">
        <v>75</v>
      </c>
      <c r="H43" s="12" t="s">
        <v>63</v>
      </c>
      <c r="I43" s="12">
        <f>SUMIF(Mercado_Receita!$S$2:$S$170,"44440B3BrancaNão se aplicaNão se aplicaNão se aplicaNão se aplicaIntermediário",Mercado_Receita!$L$2:$L$170)</f>
        <v>0</v>
      </c>
      <c r="J43" s="12">
        <f>SUMIF(Mercado_Receita!$S$2:$S$170,"44470B3BrancaNão se aplicaNão se aplicaNão se aplicaNão se aplicaIntermediário",Mercado_Receita!$L$2:$L$170)</f>
        <v>0</v>
      </c>
      <c r="K43" s="12">
        <f>SUMIF(Mercado_Receita!$S$2:$S$170,"44501B3BrancaNão se aplicaNão se aplicaNão se aplicaNão se aplicaIntermediário",Mercado_Receita!$L$2:$L$170)</f>
        <v>0</v>
      </c>
      <c r="L43" s="12">
        <f>SUMIF(Mercado_Receita!$S$2:$S$170,"44531B3BrancaNão se aplicaNão se aplicaNão se aplicaNão se aplicaIntermediário",Mercado_Receita!$L$2:$L$170)</f>
        <v>0</v>
      </c>
      <c r="M43" s="12">
        <f>SUMIF(Mercado_Receita!$S$2:$S$170,"44562B3BrancaNão se aplicaNão se aplicaNão se aplicaNão se aplicaIntermediário",Mercado_Receita!$L$2:$L$170)</f>
        <v>0</v>
      </c>
      <c r="N43" s="12">
        <f>SUMIF(Mercado_Receita!$S$2:$S$170,"44593B3BrancaNão se aplicaNão se aplicaNão se aplicaNão se aplicaIntermediário",Mercado_Receita!$L$2:$L$170)</f>
        <v>0</v>
      </c>
      <c r="O43" s="12">
        <f>SUMIF(Mercado_Receita!$S$2:$S$170,"44621B3BrancaNão se aplicaNão se aplicaNão se aplicaNão se aplicaIntermediário",Mercado_Receita!$L$2:$L$170)</f>
        <v>0</v>
      </c>
      <c r="P43" s="12">
        <f>SUMIF(Mercado_Receita!$S$2:$S$170,"44652B3BrancaNão se aplicaNão se aplicaNão se aplicaNão se aplicaIntermediário",Mercado_Receita!$L$2:$L$170)</f>
        <v>0</v>
      </c>
      <c r="Q43" s="12">
        <f>SUMIF(Mercado_Receita!$S$2:$S$170,"44682B3BrancaNão se aplicaNão se aplicaNão se aplicaNão se aplicaIntermediário",Mercado_Receita!$L$2:$L$170)</f>
        <v>0</v>
      </c>
      <c r="R43" s="12">
        <f>SUMIF(Mercado_Receita!$S$2:$S$170,"44713B3BrancaNão se aplicaNão se aplicaNão se aplicaNão se aplicaIntermediário",Mercado_Receita!$L$2:$L$170)</f>
        <v>0</v>
      </c>
      <c r="S43" s="12">
        <f>SUMIF(Mercado_Receita!$S$2:$S$170,"44743B3BrancaNão se aplicaNão se aplicaNão se aplicaNão se aplicaIntermediário",Mercado_Receita!$L$2:$L$170)</f>
        <v>0</v>
      </c>
      <c r="T43" s="12">
        <f>SUMIF(Mercado_Receita!$S$2:$S$170,"44774B3BrancaNão se aplicaNão se aplicaNão se aplicaNão se aplicaIntermediário",Mercado_Receita!$L$2:$L$170)</f>
        <v>0</v>
      </c>
      <c r="U43" s="12">
        <f t="shared" si="0"/>
        <v>0</v>
      </c>
      <c r="V43" s="12"/>
      <c r="W43" s="12"/>
    </row>
    <row r="44" spans="1:23" ht="11.25" customHeight="1" x14ac:dyDescent="0.25">
      <c r="A44" s="90"/>
      <c r="B44" s="90"/>
      <c r="C44" s="90"/>
      <c r="D44" s="90"/>
      <c r="E44" s="90"/>
      <c r="F44" s="90"/>
      <c r="G44" s="12" t="s">
        <v>65</v>
      </c>
      <c r="H44" s="12" t="s">
        <v>63</v>
      </c>
      <c r="I44" s="12">
        <f>SUMIF(Mercado_Receita!$S$2:$S$170,"44440B3BrancaNão se aplicaNão se aplicaNão se aplicaNão se aplicaFora ponta",Mercado_Receita!$L$2:$L$170)</f>
        <v>0</v>
      </c>
      <c r="J44" s="12">
        <f>SUMIF(Mercado_Receita!$S$2:$S$170,"44470B3BrancaNão se aplicaNão se aplicaNão se aplicaNão se aplicaFora ponta",Mercado_Receita!$L$2:$L$170)</f>
        <v>0</v>
      </c>
      <c r="K44" s="12">
        <f>SUMIF(Mercado_Receita!$S$2:$S$170,"44501B3BrancaNão se aplicaNão se aplicaNão se aplicaNão se aplicaFora ponta",Mercado_Receita!$L$2:$L$170)</f>
        <v>0</v>
      </c>
      <c r="L44" s="12">
        <f>SUMIF(Mercado_Receita!$S$2:$S$170,"44531B3BrancaNão se aplicaNão se aplicaNão se aplicaNão se aplicaFora ponta",Mercado_Receita!$L$2:$L$170)</f>
        <v>0</v>
      </c>
      <c r="M44" s="12">
        <f>SUMIF(Mercado_Receita!$S$2:$S$170,"44562B3BrancaNão se aplicaNão se aplicaNão se aplicaNão se aplicaFora ponta",Mercado_Receita!$L$2:$L$170)</f>
        <v>0</v>
      </c>
      <c r="N44" s="12">
        <f>SUMIF(Mercado_Receita!$S$2:$S$170,"44593B3BrancaNão se aplicaNão se aplicaNão se aplicaNão se aplicaFora ponta",Mercado_Receita!$L$2:$L$170)</f>
        <v>0</v>
      </c>
      <c r="O44" s="12">
        <f>SUMIF(Mercado_Receita!$S$2:$S$170,"44621B3BrancaNão se aplicaNão se aplicaNão se aplicaNão se aplicaFora ponta",Mercado_Receita!$L$2:$L$170)</f>
        <v>0</v>
      </c>
      <c r="P44" s="12">
        <f>SUMIF(Mercado_Receita!$S$2:$S$170,"44652B3BrancaNão se aplicaNão se aplicaNão se aplicaNão se aplicaFora ponta",Mercado_Receita!$L$2:$L$170)</f>
        <v>0</v>
      </c>
      <c r="Q44" s="12">
        <f>SUMIF(Mercado_Receita!$S$2:$S$170,"44682B3BrancaNão se aplicaNão se aplicaNão se aplicaNão se aplicaFora ponta",Mercado_Receita!$L$2:$L$170)</f>
        <v>0</v>
      </c>
      <c r="R44" s="12">
        <f>SUMIF(Mercado_Receita!$S$2:$S$170,"44713B3BrancaNão se aplicaNão se aplicaNão se aplicaNão se aplicaFora ponta",Mercado_Receita!$L$2:$L$170)</f>
        <v>0</v>
      </c>
      <c r="S44" s="12">
        <f>SUMIF(Mercado_Receita!$S$2:$S$170,"44743B3BrancaNão se aplicaNão se aplicaNão se aplicaNão se aplicaFora ponta",Mercado_Receita!$L$2:$L$170)</f>
        <v>0</v>
      </c>
      <c r="T44" s="12">
        <f>SUMIF(Mercado_Receita!$S$2:$S$170,"44774B3BrancaNão se aplicaNão se aplicaNão se aplicaNão se aplicaFora ponta",Mercado_Receita!$L$2:$L$170)</f>
        <v>0</v>
      </c>
      <c r="U44" s="12">
        <f t="shared" si="0"/>
        <v>0</v>
      </c>
      <c r="V44" s="12"/>
      <c r="W44" s="12"/>
    </row>
    <row r="45" spans="1:23" ht="11.25" customHeight="1" x14ac:dyDescent="0.25">
      <c r="A45" s="90"/>
      <c r="B45" s="13" t="s">
        <v>23</v>
      </c>
      <c r="C45" s="13" t="s">
        <v>25</v>
      </c>
      <c r="D45" s="13" t="s">
        <v>25</v>
      </c>
      <c r="E45" s="13" t="s">
        <v>25</v>
      </c>
      <c r="F45" s="13" t="s">
        <v>25</v>
      </c>
      <c r="G45" s="12" t="s">
        <v>69</v>
      </c>
      <c r="H45" s="12" t="s">
        <v>63</v>
      </c>
      <c r="I45" s="12">
        <f>SUMIF(Mercado_Receita!$S$2:$S$170,"44440B3ConvencionalNão se aplicaNão se aplicaNão se aplicaNão se aplicaPonta",Mercado_Receita!$L$2:$L$170)+SUMIF(Mercado_Receita!$S$2:$S$170,"44440B3ConvencionalNão se aplicaNão se aplicaNão se aplicaNão se aplicaFora ponta",Mercado_Receita!$L$2:$L$170)+SUMIF(Mercado_Receita!$S$2:$S$170,"44440B3ConvencionalNão se aplicaNão se aplicaNão se aplicaNão se aplicaIntermediário",Mercado_Receita!$L$2:$L$170)+SUMIF(Mercado_Receita!$S$2:$S$170,"44440B3ConvencionalNão se aplicaNão se aplicaNão se aplicaNão se aplicaNão se aplica",Mercado_Receita!$L$2:$L$170)</f>
        <v>120.99899999999998</v>
      </c>
      <c r="J45" s="12">
        <f>SUMIF(Mercado_Receita!$S$2:$S$170,"44470B3ConvencionalNão se aplicaNão se aplicaNão se aplicaNão se aplicaPonta",Mercado_Receita!$L$2:$L$170)+SUMIF(Mercado_Receita!$S$2:$S$170,"44470B3ConvencionalNão se aplicaNão se aplicaNão se aplicaNão se aplicaFora ponta",Mercado_Receita!$L$2:$L$170)+SUMIF(Mercado_Receita!$S$2:$S$170,"44470B3ConvencionalNão se aplicaNão se aplicaNão se aplicaNão se aplicaIntermediário",Mercado_Receita!$L$2:$L$170)+SUMIF(Mercado_Receita!$S$2:$S$170,"44470B3ConvencionalNão se aplicaNão se aplicaNão se aplicaNão se aplicaNão se aplica",Mercado_Receita!$L$2:$L$170)</f>
        <v>121.566</v>
      </c>
      <c r="K45" s="12">
        <f>SUMIF(Mercado_Receita!$S$2:$S$170,"44501B3ConvencionalNão se aplicaNão se aplicaNão se aplicaNão se aplicaPonta",Mercado_Receita!$L$2:$L$170)+SUMIF(Mercado_Receita!$S$2:$S$170,"44501B3ConvencionalNão se aplicaNão se aplicaNão se aplicaNão se aplicaFora ponta",Mercado_Receita!$L$2:$L$170)+SUMIF(Mercado_Receita!$S$2:$S$170,"44501B3ConvencionalNão se aplicaNão se aplicaNão se aplicaNão se aplicaIntermediário",Mercado_Receita!$L$2:$L$170)+SUMIF(Mercado_Receita!$S$2:$S$170,"44501B3ConvencionalNão se aplicaNão se aplicaNão se aplicaNão se aplicaNão se aplica",Mercado_Receita!$L$2:$L$170)</f>
        <v>110.61999999999999</v>
      </c>
      <c r="L45" s="12">
        <f>SUMIF(Mercado_Receita!$S$2:$S$170,"44531B3ConvencionalNão se aplicaNão se aplicaNão se aplicaNão se aplicaPonta",Mercado_Receita!$L$2:$L$170)+SUMIF(Mercado_Receita!$S$2:$S$170,"44531B3ConvencionalNão se aplicaNão se aplicaNão se aplicaNão se aplicaFora ponta",Mercado_Receita!$L$2:$L$170)+SUMIF(Mercado_Receita!$S$2:$S$170,"44531B3ConvencionalNão se aplicaNão se aplicaNão se aplicaNão se aplicaIntermediário",Mercado_Receita!$L$2:$L$170)+SUMIF(Mercado_Receita!$S$2:$S$170,"44531B3ConvencionalNão se aplicaNão se aplicaNão se aplicaNão se aplicaNão se aplica",Mercado_Receita!$L$2:$L$170)</f>
        <v>121.29</v>
      </c>
      <c r="M45" s="12">
        <f>SUMIF(Mercado_Receita!$S$2:$S$170,"44562B3ConvencionalNão se aplicaNão se aplicaNão se aplicaNão se aplicaPonta",Mercado_Receita!$L$2:$L$170)+SUMIF(Mercado_Receita!$S$2:$S$170,"44562B3ConvencionalNão se aplicaNão se aplicaNão se aplicaNão se aplicaFora ponta",Mercado_Receita!$L$2:$L$170)+SUMIF(Mercado_Receita!$S$2:$S$170,"44562B3ConvencionalNão se aplicaNão se aplicaNão se aplicaNão se aplicaIntermediário",Mercado_Receita!$L$2:$L$170)+SUMIF(Mercado_Receita!$S$2:$S$170,"44562B3ConvencionalNão se aplicaNão se aplicaNão se aplicaNão se aplicaNão se aplica",Mercado_Receita!$L$2:$L$170)</f>
        <v>88.674999999999997</v>
      </c>
      <c r="N45" s="12">
        <f>SUMIF(Mercado_Receita!$S$2:$S$170,"44593B3ConvencionalNão se aplicaNão se aplicaNão se aplicaNão se aplicaPonta",Mercado_Receita!$L$2:$L$170)+SUMIF(Mercado_Receita!$S$2:$S$170,"44593B3ConvencionalNão se aplicaNão se aplicaNão se aplicaNão se aplicaFora ponta",Mercado_Receita!$L$2:$L$170)+SUMIF(Mercado_Receita!$S$2:$S$170,"44593B3ConvencionalNão se aplicaNão se aplicaNão se aplicaNão se aplicaIntermediário",Mercado_Receita!$L$2:$L$170)+SUMIF(Mercado_Receita!$S$2:$S$170,"44593B3ConvencionalNão se aplicaNão se aplicaNão se aplicaNão se aplicaNão se aplica",Mercado_Receita!$L$2:$L$170)</f>
        <v>114.476</v>
      </c>
      <c r="O45" s="12">
        <f>SUMIF(Mercado_Receita!$S$2:$S$170,"44621B3ConvencionalNão se aplicaNão se aplicaNão se aplicaNão se aplicaPonta",Mercado_Receita!$L$2:$L$170)+SUMIF(Mercado_Receita!$S$2:$S$170,"44621B3ConvencionalNão se aplicaNão se aplicaNão se aplicaNão se aplicaFora ponta",Mercado_Receita!$L$2:$L$170)+SUMIF(Mercado_Receita!$S$2:$S$170,"44621B3ConvencionalNão se aplicaNão se aplicaNão se aplicaNão se aplicaIntermediário",Mercado_Receita!$L$2:$L$170)+SUMIF(Mercado_Receita!$S$2:$S$170,"44621B3ConvencionalNão se aplicaNão se aplicaNão se aplicaNão se aplicaNão se aplica",Mercado_Receita!$L$2:$L$170)</f>
        <v>125.907</v>
      </c>
      <c r="P45" s="12">
        <f>SUMIF(Mercado_Receita!$S$2:$S$170,"44652B3ConvencionalNão se aplicaNão se aplicaNão se aplicaNão se aplicaPonta",Mercado_Receita!$L$2:$L$170)+SUMIF(Mercado_Receita!$S$2:$S$170,"44652B3ConvencionalNão se aplicaNão se aplicaNão se aplicaNão se aplicaFora ponta",Mercado_Receita!$L$2:$L$170)+SUMIF(Mercado_Receita!$S$2:$S$170,"44652B3ConvencionalNão se aplicaNão se aplicaNão se aplicaNão se aplicaIntermediário",Mercado_Receita!$L$2:$L$170)+SUMIF(Mercado_Receita!$S$2:$S$170,"44652B3ConvencionalNão se aplicaNão se aplicaNão se aplicaNão se aplicaNão se aplica",Mercado_Receita!$L$2:$L$170)</f>
        <v>136.91500000000002</v>
      </c>
      <c r="Q45" s="12">
        <f>SUMIF(Mercado_Receita!$S$2:$S$170,"44682B3ConvencionalNão se aplicaNão se aplicaNão se aplicaNão se aplicaPonta",Mercado_Receita!$L$2:$L$170)+SUMIF(Mercado_Receita!$S$2:$S$170,"44682B3ConvencionalNão se aplicaNão se aplicaNão se aplicaNão se aplicaFora ponta",Mercado_Receita!$L$2:$L$170)+SUMIF(Mercado_Receita!$S$2:$S$170,"44682B3ConvencionalNão se aplicaNão se aplicaNão se aplicaNão se aplicaIntermediário",Mercado_Receita!$L$2:$L$170)+SUMIF(Mercado_Receita!$S$2:$S$170,"44682B3ConvencionalNão se aplicaNão se aplicaNão se aplicaNão se aplicaNão se aplica",Mercado_Receita!$L$2:$L$170)</f>
        <v>105.994</v>
      </c>
      <c r="R45" s="12">
        <f>SUMIF(Mercado_Receita!$S$2:$S$170,"44713B3ConvencionalNão se aplicaNão se aplicaNão se aplicaNão se aplicaPonta",Mercado_Receita!$L$2:$L$170)+SUMIF(Mercado_Receita!$S$2:$S$170,"44713B3ConvencionalNão se aplicaNão se aplicaNão se aplicaNão se aplicaFora ponta",Mercado_Receita!$L$2:$L$170)+SUMIF(Mercado_Receita!$S$2:$S$170,"44713B3ConvencionalNão se aplicaNão se aplicaNão se aplicaNão se aplicaIntermediário",Mercado_Receita!$L$2:$L$170)+SUMIF(Mercado_Receita!$S$2:$S$170,"44713B3ConvencionalNão se aplicaNão se aplicaNão se aplicaNão se aplicaNão se aplica",Mercado_Receita!$L$2:$L$170)</f>
        <v>112.505</v>
      </c>
      <c r="S45" s="12">
        <f>SUMIF(Mercado_Receita!$S$2:$S$170,"44743B3ConvencionalNão se aplicaNão se aplicaNão se aplicaNão se aplicaPonta",Mercado_Receita!$L$2:$L$170)+SUMIF(Mercado_Receita!$S$2:$S$170,"44743B3ConvencionalNão se aplicaNão se aplicaNão se aplicaNão se aplicaFora ponta",Mercado_Receita!$L$2:$L$170)+SUMIF(Mercado_Receita!$S$2:$S$170,"44743B3ConvencionalNão se aplicaNão se aplicaNão se aplicaNão se aplicaIntermediário",Mercado_Receita!$L$2:$L$170)+SUMIF(Mercado_Receita!$S$2:$S$170,"44743B3ConvencionalNão se aplicaNão se aplicaNão se aplicaNão se aplicaNão se aplica",Mercado_Receita!$L$2:$L$170)</f>
        <v>104.75600000000001</v>
      </c>
      <c r="T45" s="12">
        <f>SUMIF(Mercado_Receita!$S$2:$S$170,"44774B3ConvencionalNão se aplicaNão se aplicaNão se aplicaNão se aplicaPonta",Mercado_Receita!$L$2:$L$170)+SUMIF(Mercado_Receita!$S$2:$S$170,"44774B3ConvencionalNão se aplicaNão se aplicaNão se aplicaNão se aplicaFora ponta",Mercado_Receita!$L$2:$L$170)+SUMIF(Mercado_Receita!$S$2:$S$170,"44774B3ConvencionalNão se aplicaNão se aplicaNão se aplicaNão se aplicaIntermediário",Mercado_Receita!$L$2:$L$170)+SUMIF(Mercado_Receita!$S$2:$S$170,"44774B3ConvencionalNão se aplicaNão se aplicaNão se aplicaNão se aplicaNão se aplica",Mercado_Receita!$L$2:$L$170)</f>
        <v>113.221</v>
      </c>
      <c r="U45" s="12">
        <f t="shared" si="0"/>
        <v>1376.9240000000002</v>
      </c>
      <c r="V45" s="12"/>
      <c r="W45" s="12"/>
    </row>
    <row r="46" spans="1:23" ht="11.25" customHeight="1" x14ac:dyDescent="0.25">
      <c r="A46" s="90"/>
      <c r="B46" s="13" t="s">
        <v>79</v>
      </c>
      <c r="C46" s="13" t="s">
        <v>25</v>
      </c>
      <c r="D46" s="13" t="s">
        <v>25</v>
      </c>
      <c r="E46" s="13" t="s">
        <v>25</v>
      </c>
      <c r="F46" s="13" t="s">
        <v>25</v>
      </c>
      <c r="G46" s="12" t="s">
        <v>69</v>
      </c>
      <c r="H46" s="12" t="s">
        <v>63</v>
      </c>
      <c r="I46" s="12">
        <f>SUMIF(Mercado_Receita!$S$2:$S$170,"44440B3Convencional pré-pagamentoNão se aplicaNão se aplicaNão se aplicaNão se aplicaPonta",Mercado_Receita!$L$2:$L$170)+SUMIF(Mercado_Receita!$S$2:$S$170,"44440B3Convencional pré-pagamentoNão se aplicaNão se aplicaNão se aplicaNão se aplicaFora ponta",Mercado_Receita!$L$2:$L$170)+SUMIF(Mercado_Receita!$S$2:$S$170,"44440B3Convencional pré-pagamentoNão se aplicaNão se aplicaNão se aplicaNão se aplicaIntermediário",Mercado_Receita!$L$2:$L$170)+SUMIF(Mercado_Receita!$S$2:$S$170,"44440B3Convencional pré-pagamentoNão se aplicaNão se aplicaNão se aplicaNão se aplicaNão se aplica",Mercado_Receita!$L$2:$L$170)</f>
        <v>0</v>
      </c>
      <c r="J46" s="12">
        <f>SUMIF(Mercado_Receita!$S$2:$S$170,"44470B3Convencional pré-pagamentoNão se aplicaNão se aplicaNão se aplicaNão se aplicaPonta",Mercado_Receita!$L$2:$L$170)+SUMIF(Mercado_Receita!$S$2:$S$170,"44470B3Convencional pré-pagamentoNão se aplicaNão se aplicaNão se aplicaNão se aplicaFora ponta",Mercado_Receita!$L$2:$L$170)+SUMIF(Mercado_Receita!$S$2:$S$170,"44470B3Convencional pré-pagamentoNão se aplicaNão se aplicaNão se aplicaNão se aplicaIntermediário",Mercado_Receita!$L$2:$L$170)+SUMIF(Mercado_Receita!$S$2:$S$170,"44470B3Convencional pré-pagamentoNão se aplicaNão se aplicaNão se aplicaNão se aplicaNão se aplica",Mercado_Receita!$L$2:$L$170)</f>
        <v>0</v>
      </c>
      <c r="K46" s="12">
        <f>SUMIF(Mercado_Receita!$S$2:$S$170,"44501B3Convencional pré-pagamentoNão se aplicaNão se aplicaNão se aplicaNão se aplicaPonta",Mercado_Receita!$L$2:$L$170)+SUMIF(Mercado_Receita!$S$2:$S$170,"44501B3Convencional pré-pagamentoNão se aplicaNão se aplicaNão se aplicaNão se aplicaFora ponta",Mercado_Receita!$L$2:$L$170)+SUMIF(Mercado_Receita!$S$2:$S$170,"44501B3Convencional pré-pagamentoNão se aplicaNão se aplicaNão se aplicaNão se aplicaIntermediário",Mercado_Receita!$L$2:$L$170)+SUMIF(Mercado_Receita!$S$2:$S$170,"44501B3Convencional pré-pagamentoNão se aplicaNão se aplicaNão se aplicaNão se aplicaNão se aplica",Mercado_Receita!$L$2:$L$170)</f>
        <v>0</v>
      </c>
      <c r="L46" s="12">
        <f>SUMIF(Mercado_Receita!$S$2:$S$170,"44531B3Convencional pré-pagamentoNão se aplicaNão se aplicaNão se aplicaNão se aplicaPonta",Mercado_Receita!$L$2:$L$170)+SUMIF(Mercado_Receita!$S$2:$S$170,"44531B3Convencional pré-pagamentoNão se aplicaNão se aplicaNão se aplicaNão se aplicaFora ponta",Mercado_Receita!$L$2:$L$170)+SUMIF(Mercado_Receita!$S$2:$S$170,"44531B3Convencional pré-pagamentoNão se aplicaNão se aplicaNão se aplicaNão se aplicaIntermediário",Mercado_Receita!$L$2:$L$170)+SUMIF(Mercado_Receita!$S$2:$S$170,"44531B3Convencional pré-pagamentoNão se aplicaNão se aplicaNão se aplicaNão se aplicaNão se aplica",Mercado_Receita!$L$2:$L$170)</f>
        <v>0</v>
      </c>
      <c r="M46" s="12">
        <f>SUMIF(Mercado_Receita!$S$2:$S$170,"44562B3Convencional pré-pagamentoNão se aplicaNão se aplicaNão se aplicaNão se aplicaPonta",Mercado_Receita!$L$2:$L$170)+SUMIF(Mercado_Receita!$S$2:$S$170,"44562B3Convencional pré-pagamentoNão se aplicaNão se aplicaNão se aplicaNão se aplicaFora ponta",Mercado_Receita!$L$2:$L$170)+SUMIF(Mercado_Receita!$S$2:$S$170,"44562B3Convencional pré-pagamentoNão se aplicaNão se aplicaNão se aplicaNão se aplicaIntermediário",Mercado_Receita!$L$2:$L$170)+SUMIF(Mercado_Receita!$S$2:$S$170,"44562B3Convencional pré-pagamentoNão se aplicaNão se aplicaNão se aplicaNão se aplicaNão se aplica",Mercado_Receita!$L$2:$L$170)</f>
        <v>0</v>
      </c>
      <c r="N46" s="12">
        <f>SUMIF(Mercado_Receita!$S$2:$S$170,"44593B3Convencional pré-pagamentoNão se aplicaNão se aplicaNão se aplicaNão se aplicaPonta",Mercado_Receita!$L$2:$L$170)+SUMIF(Mercado_Receita!$S$2:$S$170,"44593B3Convencional pré-pagamentoNão se aplicaNão se aplicaNão se aplicaNão se aplicaFora ponta",Mercado_Receita!$L$2:$L$170)+SUMIF(Mercado_Receita!$S$2:$S$170,"44593B3Convencional pré-pagamentoNão se aplicaNão se aplicaNão se aplicaNão se aplicaIntermediário",Mercado_Receita!$L$2:$L$170)+SUMIF(Mercado_Receita!$S$2:$S$170,"44593B3Convencional pré-pagamentoNão se aplicaNão se aplicaNão se aplicaNão se aplicaNão se aplica",Mercado_Receita!$L$2:$L$170)</f>
        <v>0</v>
      </c>
      <c r="O46" s="12">
        <f>SUMIF(Mercado_Receita!$S$2:$S$170,"44621B3Convencional pré-pagamentoNão se aplicaNão se aplicaNão se aplicaNão se aplicaPonta",Mercado_Receita!$L$2:$L$170)+SUMIF(Mercado_Receita!$S$2:$S$170,"44621B3Convencional pré-pagamentoNão se aplicaNão se aplicaNão se aplicaNão se aplicaFora ponta",Mercado_Receita!$L$2:$L$170)+SUMIF(Mercado_Receita!$S$2:$S$170,"44621B3Convencional pré-pagamentoNão se aplicaNão se aplicaNão se aplicaNão se aplicaIntermediário",Mercado_Receita!$L$2:$L$170)+SUMIF(Mercado_Receita!$S$2:$S$170,"44621B3Convencional pré-pagamentoNão se aplicaNão se aplicaNão se aplicaNão se aplicaNão se aplica",Mercado_Receita!$L$2:$L$170)</f>
        <v>0</v>
      </c>
      <c r="P46" s="12">
        <f>SUMIF(Mercado_Receita!$S$2:$S$170,"44652B3Convencional pré-pagamentoNão se aplicaNão se aplicaNão se aplicaNão se aplicaPonta",Mercado_Receita!$L$2:$L$170)+SUMIF(Mercado_Receita!$S$2:$S$170,"44652B3Convencional pré-pagamentoNão se aplicaNão se aplicaNão se aplicaNão se aplicaFora ponta",Mercado_Receita!$L$2:$L$170)+SUMIF(Mercado_Receita!$S$2:$S$170,"44652B3Convencional pré-pagamentoNão se aplicaNão se aplicaNão se aplicaNão se aplicaIntermediário",Mercado_Receita!$L$2:$L$170)+SUMIF(Mercado_Receita!$S$2:$S$170,"44652B3Convencional pré-pagamentoNão se aplicaNão se aplicaNão se aplicaNão se aplicaNão se aplica",Mercado_Receita!$L$2:$L$170)</f>
        <v>0</v>
      </c>
      <c r="Q46" s="12">
        <f>SUMIF(Mercado_Receita!$S$2:$S$170,"44682B3Convencional pré-pagamentoNão se aplicaNão se aplicaNão se aplicaNão se aplicaPonta",Mercado_Receita!$L$2:$L$170)+SUMIF(Mercado_Receita!$S$2:$S$170,"44682B3Convencional pré-pagamentoNão se aplicaNão se aplicaNão se aplicaNão se aplicaFora ponta",Mercado_Receita!$L$2:$L$170)+SUMIF(Mercado_Receita!$S$2:$S$170,"44682B3Convencional pré-pagamentoNão se aplicaNão se aplicaNão se aplicaNão se aplicaIntermediário",Mercado_Receita!$L$2:$L$170)+SUMIF(Mercado_Receita!$S$2:$S$170,"44682B3Convencional pré-pagamentoNão se aplicaNão se aplicaNão se aplicaNão se aplicaNão se aplica",Mercado_Receita!$L$2:$L$170)</f>
        <v>0</v>
      </c>
      <c r="R46" s="12">
        <f>SUMIF(Mercado_Receita!$S$2:$S$170,"44713B3Convencional pré-pagamentoNão se aplicaNão se aplicaNão se aplicaNão se aplicaPonta",Mercado_Receita!$L$2:$L$170)+SUMIF(Mercado_Receita!$S$2:$S$170,"44713B3Convencional pré-pagamentoNão se aplicaNão se aplicaNão se aplicaNão se aplicaFora ponta",Mercado_Receita!$L$2:$L$170)+SUMIF(Mercado_Receita!$S$2:$S$170,"44713B3Convencional pré-pagamentoNão se aplicaNão se aplicaNão se aplicaNão se aplicaIntermediário",Mercado_Receita!$L$2:$L$170)+SUMIF(Mercado_Receita!$S$2:$S$170,"44713B3Convencional pré-pagamentoNão se aplicaNão se aplicaNão se aplicaNão se aplicaNão se aplica",Mercado_Receita!$L$2:$L$170)</f>
        <v>0</v>
      </c>
      <c r="S46" s="12">
        <f>SUMIF(Mercado_Receita!$S$2:$S$170,"44743B3Convencional pré-pagamentoNão se aplicaNão se aplicaNão se aplicaNão se aplicaPonta",Mercado_Receita!$L$2:$L$170)+SUMIF(Mercado_Receita!$S$2:$S$170,"44743B3Convencional pré-pagamentoNão se aplicaNão se aplicaNão se aplicaNão se aplicaFora ponta",Mercado_Receita!$L$2:$L$170)+SUMIF(Mercado_Receita!$S$2:$S$170,"44743B3Convencional pré-pagamentoNão se aplicaNão se aplicaNão se aplicaNão se aplicaIntermediário",Mercado_Receita!$L$2:$L$170)+SUMIF(Mercado_Receita!$S$2:$S$170,"44743B3Convencional pré-pagamentoNão se aplicaNão se aplicaNão se aplicaNão se aplicaNão se aplica",Mercado_Receita!$L$2:$L$170)</f>
        <v>0</v>
      </c>
      <c r="T46" s="12">
        <f>SUMIF(Mercado_Receita!$S$2:$S$170,"44774B3Convencional pré-pagamentoNão se aplicaNão se aplicaNão se aplicaNão se aplicaPonta",Mercado_Receita!$L$2:$L$170)+SUMIF(Mercado_Receita!$S$2:$S$170,"44774B3Convencional pré-pagamentoNão se aplicaNão se aplicaNão se aplicaNão se aplicaFora ponta",Mercado_Receita!$L$2:$L$170)+SUMIF(Mercado_Receita!$S$2:$S$170,"44774B3Convencional pré-pagamentoNão se aplicaNão se aplicaNão se aplicaNão se aplicaIntermediário",Mercado_Receita!$L$2:$L$170)+SUMIF(Mercado_Receita!$S$2:$S$170,"44774B3Convencional pré-pagamentoNão se aplicaNão se aplicaNão se aplicaNão se aplicaNão se aplica",Mercado_Receita!$L$2:$L$170)</f>
        <v>0</v>
      </c>
      <c r="U46" s="12">
        <f t="shared" si="0"/>
        <v>0</v>
      </c>
      <c r="V46" s="12"/>
      <c r="W46" s="12"/>
    </row>
    <row r="47" spans="1:23" ht="11.25" customHeight="1" x14ac:dyDescent="0.25">
      <c r="A47" s="89" t="s">
        <v>42</v>
      </c>
      <c r="B47" s="89" t="s">
        <v>23</v>
      </c>
      <c r="C47" s="89" t="s">
        <v>43</v>
      </c>
      <c r="D47" s="13" t="s">
        <v>82</v>
      </c>
      <c r="E47" s="13" t="s">
        <v>25</v>
      </c>
      <c r="F47" s="13" t="s">
        <v>25</v>
      </c>
      <c r="G47" s="12" t="s">
        <v>69</v>
      </c>
      <c r="H47" s="12" t="s">
        <v>63</v>
      </c>
      <c r="I47" s="12">
        <f>SUMIF(Mercado_Receita!$S$2:$S$170,"44440B4ConvencionalIluminação públicaIluminação pública – B4aNão se aplicaNão se aplicaPonta",Mercado_Receita!$L$2:$L$170)+SUMIF(Mercado_Receita!$S$2:$S$170,"44440B4ConvencionalIluminação públicaIluminação pública – B4aNão se aplicaNão se aplicaFora ponta",Mercado_Receita!$L$2:$L$170)+SUMIF(Mercado_Receita!$S$2:$S$170,"44440B4ConvencionalIluminação públicaIluminação pública – B4aNão se aplicaNão se aplicaIntermediário",Mercado_Receita!$L$2:$L$170)+SUMIF(Mercado_Receita!$S$2:$S$170,"44440B4ConvencionalIluminação públicaIluminação pública – B4aNão se aplicaNão se aplicaNão se aplica",Mercado_Receita!$L$2:$L$170)</f>
        <v>0</v>
      </c>
      <c r="J47" s="12">
        <f>SUMIF(Mercado_Receita!$S$2:$S$170,"44470B4ConvencionalIluminação públicaIluminação pública – B4aNão se aplicaNão se aplicaPonta",Mercado_Receita!$L$2:$L$170)+SUMIF(Mercado_Receita!$S$2:$S$170,"44470B4ConvencionalIluminação públicaIluminação pública – B4aNão se aplicaNão se aplicaFora ponta",Mercado_Receita!$L$2:$L$170)+SUMIF(Mercado_Receita!$S$2:$S$170,"44470B4ConvencionalIluminação públicaIluminação pública – B4aNão se aplicaNão se aplicaIntermediário",Mercado_Receita!$L$2:$L$170)+SUMIF(Mercado_Receita!$S$2:$S$170,"44470B4ConvencionalIluminação públicaIluminação pública – B4aNão se aplicaNão se aplicaNão se aplica",Mercado_Receita!$L$2:$L$170)</f>
        <v>0</v>
      </c>
      <c r="K47" s="12">
        <f>SUMIF(Mercado_Receita!$S$2:$S$170,"44501B4ConvencionalIluminação públicaIluminação pública – B4aNão se aplicaNão se aplicaPonta",Mercado_Receita!$L$2:$L$170)+SUMIF(Mercado_Receita!$S$2:$S$170,"44501B4ConvencionalIluminação públicaIluminação pública – B4aNão se aplicaNão se aplicaFora ponta",Mercado_Receita!$L$2:$L$170)+SUMIF(Mercado_Receita!$S$2:$S$170,"44501B4ConvencionalIluminação públicaIluminação pública – B4aNão se aplicaNão se aplicaIntermediário",Mercado_Receita!$L$2:$L$170)+SUMIF(Mercado_Receita!$S$2:$S$170,"44501B4ConvencionalIluminação públicaIluminação pública – B4aNão se aplicaNão se aplicaNão se aplica",Mercado_Receita!$L$2:$L$170)</f>
        <v>0</v>
      </c>
      <c r="L47" s="12">
        <f>SUMIF(Mercado_Receita!$S$2:$S$170,"44531B4ConvencionalIluminação públicaIluminação pública – B4aNão se aplicaNão se aplicaPonta",Mercado_Receita!$L$2:$L$170)+SUMIF(Mercado_Receita!$S$2:$S$170,"44531B4ConvencionalIluminação públicaIluminação pública – B4aNão se aplicaNão se aplicaFora ponta",Mercado_Receita!$L$2:$L$170)+SUMIF(Mercado_Receita!$S$2:$S$170,"44531B4ConvencionalIluminação públicaIluminação pública – B4aNão se aplicaNão se aplicaIntermediário",Mercado_Receita!$L$2:$L$170)+SUMIF(Mercado_Receita!$S$2:$S$170,"44531B4ConvencionalIluminação públicaIluminação pública – B4aNão se aplicaNão se aplicaNão se aplica",Mercado_Receita!$L$2:$L$170)</f>
        <v>0</v>
      </c>
      <c r="M47" s="12">
        <f>SUMIF(Mercado_Receita!$S$2:$S$170,"44562B4ConvencionalIluminação públicaIluminação pública – B4aNão se aplicaNão se aplicaPonta",Mercado_Receita!$L$2:$L$170)+SUMIF(Mercado_Receita!$S$2:$S$170,"44562B4ConvencionalIluminação públicaIluminação pública – B4aNão se aplicaNão se aplicaFora ponta",Mercado_Receita!$L$2:$L$170)+SUMIF(Mercado_Receita!$S$2:$S$170,"44562B4ConvencionalIluminação públicaIluminação pública – B4aNão se aplicaNão se aplicaIntermediário",Mercado_Receita!$L$2:$L$170)+SUMIF(Mercado_Receita!$S$2:$S$170,"44562B4ConvencionalIluminação públicaIluminação pública – B4aNão se aplicaNão se aplicaNão se aplica",Mercado_Receita!$L$2:$L$170)</f>
        <v>0</v>
      </c>
      <c r="N47" s="12">
        <f>SUMIF(Mercado_Receita!$S$2:$S$170,"44593B4ConvencionalIluminação públicaIluminação pública – B4aNão se aplicaNão se aplicaPonta",Mercado_Receita!$L$2:$L$170)+SUMIF(Mercado_Receita!$S$2:$S$170,"44593B4ConvencionalIluminação públicaIluminação pública – B4aNão se aplicaNão se aplicaFora ponta",Mercado_Receita!$L$2:$L$170)+SUMIF(Mercado_Receita!$S$2:$S$170,"44593B4ConvencionalIluminação públicaIluminação pública – B4aNão se aplicaNão se aplicaIntermediário",Mercado_Receita!$L$2:$L$170)+SUMIF(Mercado_Receita!$S$2:$S$170,"44593B4ConvencionalIluminação públicaIluminação pública – B4aNão se aplicaNão se aplicaNão se aplica",Mercado_Receita!$L$2:$L$170)</f>
        <v>0</v>
      </c>
      <c r="O47" s="12">
        <f>SUMIF(Mercado_Receita!$S$2:$S$170,"44621B4ConvencionalIluminação públicaIluminação pública – B4aNão se aplicaNão se aplicaPonta",Mercado_Receita!$L$2:$L$170)+SUMIF(Mercado_Receita!$S$2:$S$170,"44621B4ConvencionalIluminação públicaIluminação pública – B4aNão se aplicaNão se aplicaFora ponta",Mercado_Receita!$L$2:$L$170)+SUMIF(Mercado_Receita!$S$2:$S$170,"44621B4ConvencionalIluminação públicaIluminação pública – B4aNão se aplicaNão se aplicaIntermediário",Mercado_Receita!$L$2:$L$170)+SUMIF(Mercado_Receita!$S$2:$S$170,"44621B4ConvencionalIluminação públicaIluminação pública – B4aNão se aplicaNão se aplicaNão se aplica",Mercado_Receita!$L$2:$L$170)</f>
        <v>0</v>
      </c>
      <c r="P47" s="12">
        <f>SUMIF(Mercado_Receita!$S$2:$S$170,"44652B4ConvencionalIluminação públicaIluminação pública – B4aNão se aplicaNão se aplicaPonta",Mercado_Receita!$L$2:$L$170)+SUMIF(Mercado_Receita!$S$2:$S$170,"44652B4ConvencionalIluminação públicaIluminação pública – B4aNão se aplicaNão se aplicaFora ponta",Mercado_Receita!$L$2:$L$170)+SUMIF(Mercado_Receita!$S$2:$S$170,"44652B4ConvencionalIluminação públicaIluminação pública – B4aNão se aplicaNão se aplicaIntermediário",Mercado_Receita!$L$2:$L$170)+SUMIF(Mercado_Receita!$S$2:$S$170,"44652B4ConvencionalIluminação públicaIluminação pública – B4aNão se aplicaNão se aplicaNão se aplica",Mercado_Receita!$L$2:$L$170)</f>
        <v>0</v>
      </c>
      <c r="Q47" s="12">
        <f>SUMIF(Mercado_Receita!$S$2:$S$170,"44682B4ConvencionalIluminação públicaIluminação pública – B4aNão se aplicaNão se aplicaPonta",Mercado_Receita!$L$2:$L$170)+SUMIF(Mercado_Receita!$S$2:$S$170,"44682B4ConvencionalIluminação públicaIluminação pública – B4aNão se aplicaNão se aplicaFora ponta",Mercado_Receita!$L$2:$L$170)+SUMIF(Mercado_Receita!$S$2:$S$170,"44682B4ConvencionalIluminação públicaIluminação pública – B4aNão se aplicaNão se aplicaIntermediário",Mercado_Receita!$L$2:$L$170)+SUMIF(Mercado_Receita!$S$2:$S$170,"44682B4ConvencionalIluminação públicaIluminação pública – B4aNão se aplicaNão se aplicaNão se aplica",Mercado_Receita!$L$2:$L$170)</f>
        <v>0</v>
      </c>
      <c r="R47" s="12">
        <f>SUMIF(Mercado_Receita!$S$2:$S$170,"44713B4ConvencionalIluminação públicaIluminação pública – B4aNão se aplicaNão se aplicaPonta",Mercado_Receita!$L$2:$L$170)+SUMIF(Mercado_Receita!$S$2:$S$170,"44713B4ConvencionalIluminação públicaIluminação pública – B4aNão se aplicaNão se aplicaFora ponta",Mercado_Receita!$L$2:$L$170)+SUMIF(Mercado_Receita!$S$2:$S$170,"44713B4ConvencionalIluminação públicaIluminação pública – B4aNão se aplicaNão se aplicaIntermediário",Mercado_Receita!$L$2:$L$170)+SUMIF(Mercado_Receita!$S$2:$S$170,"44713B4ConvencionalIluminação públicaIluminação pública – B4aNão se aplicaNão se aplicaNão se aplica",Mercado_Receita!$L$2:$L$170)</f>
        <v>0</v>
      </c>
      <c r="S47" s="12">
        <f>SUMIF(Mercado_Receita!$S$2:$S$170,"44743B4ConvencionalIluminação públicaIluminação pública – B4aNão se aplicaNão se aplicaPonta",Mercado_Receita!$L$2:$L$170)+SUMIF(Mercado_Receita!$S$2:$S$170,"44743B4ConvencionalIluminação públicaIluminação pública – B4aNão se aplicaNão se aplicaFora ponta",Mercado_Receita!$L$2:$L$170)+SUMIF(Mercado_Receita!$S$2:$S$170,"44743B4ConvencionalIluminação públicaIluminação pública – B4aNão se aplicaNão se aplicaIntermediário",Mercado_Receita!$L$2:$L$170)+SUMIF(Mercado_Receita!$S$2:$S$170,"44743B4ConvencionalIluminação públicaIluminação pública – B4aNão se aplicaNão se aplicaNão se aplica",Mercado_Receita!$L$2:$L$170)</f>
        <v>0</v>
      </c>
      <c r="T47" s="12">
        <f>SUMIF(Mercado_Receita!$S$2:$S$170,"44774B4ConvencionalIluminação públicaIluminação pública – B4aNão se aplicaNão se aplicaPonta",Mercado_Receita!$L$2:$L$170)+SUMIF(Mercado_Receita!$S$2:$S$170,"44774B4ConvencionalIluminação públicaIluminação pública – B4aNão se aplicaNão se aplicaFora ponta",Mercado_Receita!$L$2:$L$170)+SUMIF(Mercado_Receita!$S$2:$S$170,"44774B4ConvencionalIluminação públicaIluminação pública – B4aNão se aplicaNão se aplicaIntermediário",Mercado_Receita!$L$2:$L$170)+SUMIF(Mercado_Receita!$S$2:$S$170,"44774B4ConvencionalIluminação públicaIluminação pública – B4aNão se aplicaNão se aplicaNão se aplica",Mercado_Receita!$L$2:$L$170)</f>
        <v>0</v>
      </c>
      <c r="U47" s="12">
        <f t="shared" si="0"/>
        <v>0</v>
      </c>
      <c r="V47" s="12"/>
      <c r="W47" s="12"/>
    </row>
    <row r="48" spans="1:23" ht="11.25" customHeight="1" x14ac:dyDescent="0.25">
      <c r="A48" s="90"/>
      <c r="B48" s="90"/>
      <c r="C48" s="90"/>
      <c r="D48" s="12" t="s">
        <v>44</v>
      </c>
      <c r="E48" s="12" t="s">
        <v>25</v>
      </c>
      <c r="F48" s="12" t="s">
        <v>25</v>
      </c>
      <c r="G48" s="12" t="s">
        <v>69</v>
      </c>
      <c r="H48" s="12" t="s">
        <v>63</v>
      </c>
      <c r="I48" s="12">
        <f>SUMIF(Mercado_Receita!$S$2:$S$170,"44440B4ConvencionalIluminação públicaIluminação pública – B4bNão se aplicaNão se aplicaPonta",Mercado_Receita!$L$2:$L$170)+SUMIF(Mercado_Receita!$S$2:$S$170,"44440B4ConvencionalIluminação públicaIluminação pública – B4bNão se aplicaNão se aplicaFora ponta",Mercado_Receita!$L$2:$L$170)+SUMIF(Mercado_Receita!$S$2:$S$170,"44440B4ConvencionalIluminação públicaIluminação pública – B4bNão se aplicaNão se aplicaIntermediário",Mercado_Receita!$L$2:$L$170)+SUMIF(Mercado_Receita!$S$2:$S$170,"44440B4ConvencionalIluminação públicaIluminação pública – B4bNão se aplicaNão se aplicaNão se aplica",Mercado_Receita!$L$2:$L$170)</f>
        <v>45.606999999999999</v>
      </c>
      <c r="J48" s="12">
        <f>SUMIF(Mercado_Receita!$S$2:$S$170,"44470B4ConvencionalIluminação públicaIluminação pública – B4bNão se aplicaNão se aplicaPonta",Mercado_Receita!$L$2:$L$170)+SUMIF(Mercado_Receita!$S$2:$S$170,"44470B4ConvencionalIluminação públicaIluminação pública – B4bNão se aplicaNão se aplicaFora ponta",Mercado_Receita!$L$2:$L$170)+SUMIF(Mercado_Receita!$S$2:$S$170,"44470B4ConvencionalIluminação públicaIluminação pública – B4bNão se aplicaNão se aplicaIntermediário",Mercado_Receita!$L$2:$L$170)+SUMIF(Mercado_Receita!$S$2:$S$170,"44470B4ConvencionalIluminação públicaIluminação pública – B4bNão se aplicaNão se aplicaNão se aplica",Mercado_Receita!$L$2:$L$170)</f>
        <v>45.606999999999999</v>
      </c>
      <c r="K48" s="12">
        <f>SUMIF(Mercado_Receita!$S$2:$S$170,"44501B4ConvencionalIluminação públicaIluminação pública – B4bNão se aplicaNão se aplicaPonta",Mercado_Receita!$L$2:$L$170)+SUMIF(Mercado_Receita!$S$2:$S$170,"44501B4ConvencionalIluminação públicaIluminação pública – B4bNão se aplicaNão se aplicaFora ponta",Mercado_Receita!$L$2:$L$170)+SUMIF(Mercado_Receita!$S$2:$S$170,"44501B4ConvencionalIluminação públicaIluminação pública – B4bNão se aplicaNão se aplicaIntermediário",Mercado_Receita!$L$2:$L$170)+SUMIF(Mercado_Receita!$S$2:$S$170,"44501B4ConvencionalIluminação públicaIluminação pública – B4bNão se aplicaNão se aplicaNão se aplica",Mercado_Receita!$L$2:$L$170)</f>
        <v>45.606999999999999</v>
      </c>
      <c r="L48" s="12">
        <f>SUMIF(Mercado_Receita!$S$2:$S$170,"44531B4ConvencionalIluminação públicaIluminação pública – B4bNão se aplicaNão se aplicaPonta",Mercado_Receita!$L$2:$L$170)+SUMIF(Mercado_Receita!$S$2:$S$170,"44531B4ConvencionalIluminação públicaIluminação pública – B4bNão se aplicaNão se aplicaFora ponta",Mercado_Receita!$L$2:$L$170)+SUMIF(Mercado_Receita!$S$2:$S$170,"44531B4ConvencionalIluminação públicaIluminação pública – B4bNão se aplicaNão se aplicaIntermediário",Mercado_Receita!$L$2:$L$170)+SUMIF(Mercado_Receita!$S$2:$S$170,"44531B4ConvencionalIluminação públicaIluminação pública – B4bNão se aplicaNão se aplicaNão se aplica",Mercado_Receita!$L$2:$L$170)</f>
        <v>45.606999999999999</v>
      </c>
      <c r="M48" s="12">
        <f>SUMIF(Mercado_Receita!$S$2:$S$170,"44562B4ConvencionalIluminação públicaIluminação pública – B4bNão se aplicaNão se aplicaPonta",Mercado_Receita!$L$2:$L$170)+SUMIF(Mercado_Receita!$S$2:$S$170,"44562B4ConvencionalIluminação públicaIluminação pública – B4bNão se aplicaNão se aplicaFora ponta",Mercado_Receita!$L$2:$L$170)+SUMIF(Mercado_Receita!$S$2:$S$170,"44562B4ConvencionalIluminação públicaIluminação pública – B4bNão se aplicaNão se aplicaIntermediário",Mercado_Receita!$L$2:$L$170)+SUMIF(Mercado_Receita!$S$2:$S$170,"44562B4ConvencionalIluminação públicaIluminação pública – B4bNão se aplicaNão se aplicaNão se aplica",Mercado_Receita!$L$2:$L$170)</f>
        <v>45.606999999999999</v>
      </c>
      <c r="N48" s="12">
        <f>SUMIF(Mercado_Receita!$S$2:$S$170,"44593B4ConvencionalIluminação públicaIluminação pública – B4bNão se aplicaNão se aplicaPonta",Mercado_Receita!$L$2:$L$170)+SUMIF(Mercado_Receita!$S$2:$S$170,"44593B4ConvencionalIluminação públicaIluminação pública – B4bNão se aplicaNão se aplicaFora ponta",Mercado_Receita!$L$2:$L$170)+SUMIF(Mercado_Receita!$S$2:$S$170,"44593B4ConvencionalIluminação públicaIluminação pública – B4bNão se aplicaNão se aplicaIntermediário",Mercado_Receita!$L$2:$L$170)+SUMIF(Mercado_Receita!$S$2:$S$170,"44593B4ConvencionalIluminação públicaIluminação pública – B4bNão se aplicaNão se aplicaNão se aplica",Mercado_Receita!$L$2:$L$170)</f>
        <v>45.606999999999999</v>
      </c>
      <c r="O48" s="12">
        <f>SUMIF(Mercado_Receita!$S$2:$S$170,"44621B4ConvencionalIluminação públicaIluminação pública – B4bNão se aplicaNão se aplicaPonta",Mercado_Receita!$L$2:$L$170)+SUMIF(Mercado_Receita!$S$2:$S$170,"44621B4ConvencionalIluminação públicaIluminação pública – B4bNão se aplicaNão se aplicaFora ponta",Mercado_Receita!$L$2:$L$170)+SUMIF(Mercado_Receita!$S$2:$S$170,"44621B4ConvencionalIluminação públicaIluminação pública – B4bNão se aplicaNão se aplicaIntermediário",Mercado_Receita!$L$2:$L$170)+SUMIF(Mercado_Receita!$S$2:$S$170,"44621B4ConvencionalIluminação públicaIluminação pública – B4bNão se aplicaNão se aplicaNão se aplica",Mercado_Receita!$L$2:$L$170)</f>
        <v>45.606999999999999</v>
      </c>
      <c r="P48" s="12">
        <f>SUMIF(Mercado_Receita!$S$2:$S$170,"44652B4ConvencionalIluminação públicaIluminação pública – B4bNão se aplicaNão se aplicaPonta",Mercado_Receita!$L$2:$L$170)+SUMIF(Mercado_Receita!$S$2:$S$170,"44652B4ConvencionalIluminação públicaIluminação pública – B4bNão se aplicaNão se aplicaFora ponta",Mercado_Receita!$L$2:$L$170)+SUMIF(Mercado_Receita!$S$2:$S$170,"44652B4ConvencionalIluminação públicaIluminação pública – B4bNão se aplicaNão se aplicaIntermediário",Mercado_Receita!$L$2:$L$170)+SUMIF(Mercado_Receita!$S$2:$S$170,"44652B4ConvencionalIluminação públicaIluminação pública – B4bNão se aplicaNão se aplicaNão se aplica",Mercado_Receita!$L$2:$L$170)</f>
        <v>45.606999999999999</v>
      </c>
      <c r="Q48" s="12">
        <f>SUMIF(Mercado_Receita!$S$2:$S$170,"44682B4ConvencionalIluminação públicaIluminação pública – B4bNão se aplicaNão se aplicaPonta",Mercado_Receita!$L$2:$L$170)+SUMIF(Mercado_Receita!$S$2:$S$170,"44682B4ConvencionalIluminação públicaIluminação pública – B4bNão se aplicaNão se aplicaFora ponta",Mercado_Receita!$L$2:$L$170)+SUMIF(Mercado_Receita!$S$2:$S$170,"44682B4ConvencionalIluminação públicaIluminação pública – B4bNão se aplicaNão se aplicaIntermediário",Mercado_Receita!$L$2:$L$170)+SUMIF(Mercado_Receita!$S$2:$S$170,"44682B4ConvencionalIluminação públicaIluminação pública – B4bNão se aplicaNão se aplicaNão se aplica",Mercado_Receita!$L$2:$L$170)</f>
        <v>45.606999999999999</v>
      </c>
      <c r="R48" s="12">
        <f>SUMIF(Mercado_Receita!$S$2:$S$170,"44713B4ConvencionalIluminação públicaIluminação pública – B4bNão se aplicaNão se aplicaPonta",Mercado_Receita!$L$2:$L$170)+SUMIF(Mercado_Receita!$S$2:$S$170,"44713B4ConvencionalIluminação públicaIluminação pública – B4bNão se aplicaNão se aplicaFora ponta",Mercado_Receita!$L$2:$L$170)+SUMIF(Mercado_Receita!$S$2:$S$170,"44713B4ConvencionalIluminação públicaIluminação pública – B4bNão se aplicaNão se aplicaIntermediário",Mercado_Receita!$L$2:$L$170)+SUMIF(Mercado_Receita!$S$2:$S$170,"44713B4ConvencionalIluminação públicaIluminação pública – B4bNão se aplicaNão se aplicaNão se aplica",Mercado_Receita!$L$2:$L$170)</f>
        <v>45.606999999999999</v>
      </c>
      <c r="S48" s="12">
        <f>SUMIF(Mercado_Receita!$S$2:$S$170,"44743B4ConvencionalIluminação públicaIluminação pública – B4bNão se aplicaNão se aplicaPonta",Mercado_Receita!$L$2:$L$170)+SUMIF(Mercado_Receita!$S$2:$S$170,"44743B4ConvencionalIluminação públicaIluminação pública – B4bNão se aplicaNão se aplicaFora ponta",Mercado_Receita!$L$2:$L$170)+SUMIF(Mercado_Receita!$S$2:$S$170,"44743B4ConvencionalIluminação públicaIluminação pública – B4bNão se aplicaNão se aplicaIntermediário",Mercado_Receita!$L$2:$L$170)+SUMIF(Mercado_Receita!$S$2:$S$170,"44743B4ConvencionalIluminação públicaIluminação pública – B4bNão se aplicaNão se aplicaNão se aplica",Mercado_Receita!$L$2:$L$170)</f>
        <v>45.606999999999999</v>
      </c>
      <c r="T48" s="12">
        <f>SUMIF(Mercado_Receita!$S$2:$S$170,"44774B4ConvencionalIluminação públicaIluminação pública – B4bNão se aplicaNão se aplicaPonta",Mercado_Receita!$L$2:$L$170)+SUMIF(Mercado_Receita!$S$2:$S$170,"44774B4ConvencionalIluminação públicaIluminação pública – B4bNão se aplicaNão se aplicaFora ponta",Mercado_Receita!$L$2:$L$170)+SUMIF(Mercado_Receita!$S$2:$S$170,"44774B4ConvencionalIluminação públicaIluminação pública – B4bNão se aplicaNão se aplicaIntermediário",Mercado_Receita!$L$2:$L$170)+SUMIF(Mercado_Receita!$S$2:$S$170,"44774B4ConvencionalIluminação públicaIluminação pública – B4bNão se aplicaNão se aplicaNão se aplica",Mercado_Receita!$L$2:$L$170)</f>
        <v>45.606999999999999</v>
      </c>
      <c r="U48" s="12">
        <f t="shared" si="0"/>
        <v>547.28399999999988</v>
      </c>
      <c r="V48" s="12"/>
      <c r="W48" s="12"/>
    </row>
    <row r="49" spans="1:23" ht="11.25" customHeight="1" x14ac:dyDescent="0.25">
      <c r="A49" s="91" t="s">
        <v>321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12"/>
      <c r="W49" s="12"/>
    </row>
  </sheetData>
  <mergeCells count="55"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F27:F29"/>
    <mergeCell ref="E27:E29"/>
    <mergeCell ref="D27:D29"/>
    <mergeCell ref="C27:C29"/>
    <mergeCell ref="B27:B29"/>
    <mergeCell ref="C17:C21"/>
    <mergeCell ref="B17:B21"/>
    <mergeCell ref="C22:C26"/>
    <mergeCell ref="B22:B26"/>
    <mergeCell ref="A14:A26"/>
    <mergeCell ref="C31:C33"/>
    <mergeCell ref="B31:B33"/>
    <mergeCell ref="F35:F37"/>
    <mergeCell ref="E35:E37"/>
    <mergeCell ref="D35:D37"/>
    <mergeCell ref="C35:C37"/>
    <mergeCell ref="B35:B37"/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648B-9CA0-4287-A4FF-641EC308A32D}">
  <dimension ref="A1:AD39"/>
  <sheetViews>
    <sheetView showGridLines="0" workbookViewId="0">
      <selection sqref="A1:W39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20" width="7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61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9" t="s">
        <v>33</v>
      </c>
      <c r="B2" s="89" t="s">
        <v>62</v>
      </c>
      <c r="C2" s="89" t="s">
        <v>25</v>
      </c>
      <c r="D2" s="89" t="s">
        <v>25</v>
      </c>
      <c r="E2" s="89" t="s">
        <v>25</v>
      </c>
      <c r="F2" s="89" t="s">
        <v>25</v>
      </c>
      <c r="G2" s="12" t="s">
        <v>64</v>
      </c>
      <c r="H2" s="12" t="s">
        <v>63</v>
      </c>
      <c r="I2" s="12">
        <f>SUMIF(Mercado_Receita!$T$2:$T$170,"44440A4Energia horáriaNão se aplicaNão se aplicaNão se aplicaNão se aplicaPonta",Mercado_Receita!$N$2:$N$170)</f>
        <v>366.81800000000004</v>
      </c>
      <c r="J2" s="12">
        <f>SUMIF(Mercado_Receita!$T$2:$T$170,"44470A4Energia horáriaNão se aplicaNão se aplicaNão se aplicaNão se aplicaPonta",Mercado_Receita!$N$2:$N$170)</f>
        <v>385.221</v>
      </c>
      <c r="K2" s="12">
        <f>SUMIF(Mercado_Receita!$T$2:$T$170,"44501A4Energia horáriaNão se aplicaNão se aplicaNão se aplicaNão se aplicaPonta",Mercado_Receita!$N$2:$N$170)</f>
        <v>374.613</v>
      </c>
      <c r="L2" s="12">
        <f>SUMIF(Mercado_Receita!$T$2:$T$170,"44531A4Energia horáriaNão se aplicaNão se aplicaNão se aplicaNão se aplicaPonta",Mercado_Receita!$N$2:$N$170)</f>
        <v>363.14799999999997</v>
      </c>
      <c r="M2" s="12">
        <f>SUMIF(Mercado_Receita!$T$2:$T$170,"44562A4Energia horáriaNão se aplicaNão se aplicaNão se aplicaNão se aplicaPonta",Mercado_Receita!$N$2:$N$170)</f>
        <v>252.42900000000003</v>
      </c>
      <c r="N2" s="12">
        <f>SUMIF(Mercado_Receita!$T$2:$T$170,"44593A4Energia horáriaNão se aplicaNão se aplicaNão se aplicaNão se aplicaPonta",Mercado_Receita!$N$2:$N$170)</f>
        <v>352.94400000000002</v>
      </c>
      <c r="O2" s="12">
        <f>SUMIF(Mercado_Receita!$T$2:$T$170,"44621A4Energia horáriaNão se aplicaNão se aplicaNão se aplicaNão se aplicaPonta",Mercado_Receita!$N$2:$N$170)</f>
        <v>397.13399999999996</v>
      </c>
      <c r="P2" s="12">
        <f>SUMIF(Mercado_Receita!$T$2:$T$170,"44652A4Energia horáriaNão se aplicaNão se aplicaNão se aplicaNão se aplicaPonta",Mercado_Receita!$N$2:$N$170)</f>
        <v>342.39299999999997</v>
      </c>
      <c r="Q2" s="12">
        <f>SUMIF(Mercado_Receita!$T$2:$T$170,"44682A4Energia horáriaNão se aplicaNão se aplicaNão se aplicaNão se aplicaPonta",Mercado_Receita!$N$2:$N$170)</f>
        <v>364.60199999999998</v>
      </c>
      <c r="R2" s="12">
        <f>SUMIF(Mercado_Receita!$T$2:$T$170,"44713A4Energia horáriaNão se aplicaNão se aplicaNão se aplicaNão se aplicaPonta",Mercado_Receita!$N$2:$N$170)</f>
        <v>409.74099999999999</v>
      </c>
      <c r="S2" s="12">
        <f>SUMIF(Mercado_Receita!$T$2:$T$170,"44743A4Energia horáriaNão se aplicaNão se aplicaNão se aplicaNão se aplicaPonta",Mercado_Receita!$N$2:$N$170)</f>
        <v>401.26400000000001</v>
      </c>
      <c r="T2" s="12">
        <f>SUMIF(Mercado_Receita!$T$2:$T$170,"44774A4Energia horáriaNão se aplicaNão se aplicaNão se aplicaNão se aplicaPonta",Mercado_Receita!$N$2:$N$170)</f>
        <v>414.59000000000003</v>
      </c>
      <c r="U2" s="12">
        <f t="shared" ref="U2:U38" si="0">SUM(I2:T2)</f>
        <v>4424.8969999999999</v>
      </c>
      <c r="V2" s="12"/>
      <c r="W2" s="12"/>
    </row>
    <row r="3" spans="1:30" ht="11.25" customHeight="1" x14ac:dyDescent="0.25">
      <c r="A3" s="90"/>
      <c r="B3" s="90"/>
      <c r="C3" s="90"/>
      <c r="D3" s="90"/>
      <c r="E3" s="90"/>
      <c r="F3" s="90"/>
      <c r="G3" s="12" t="s">
        <v>65</v>
      </c>
      <c r="H3" s="12" t="s">
        <v>63</v>
      </c>
      <c r="I3" s="12">
        <f>SUMIF(Mercado_Receita!$T$2:$T$170,"44440A4Energia horáriaNão se aplicaNão se aplicaNão se aplicaNão se aplicaFora ponta",Mercado_Receita!$N$2:$N$170)</f>
        <v>3964.3289999999997</v>
      </c>
      <c r="J3" s="12">
        <f>SUMIF(Mercado_Receita!$T$2:$T$170,"44470A4Energia horáriaNão se aplicaNão se aplicaNão se aplicaNão se aplicaFora ponta",Mercado_Receita!$N$2:$N$170)</f>
        <v>4069.857</v>
      </c>
      <c r="K3" s="12">
        <f>SUMIF(Mercado_Receita!$T$2:$T$170,"44501A4Energia horáriaNão se aplicaNão se aplicaNão se aplicaNão se aplicaFora ponta",Mercado_Receita!$N$2:$N$170)</f>
        <v>4322.8510000000006</v>
      </c>
      <c r="L3" s="12">
        <f>SUMIF(Mercado_Receita!$T$2:$T$170,"44531A4Energia horáriaNão se aplicaNão se aplicaNão se aplicaNão se aplicaFora ponta",Mercado_Receita!$N$2:$N$170)</f>
        <v>3848.373</v>
      </c>
      <c r="M3" s="12">
        <f>SUMIF(Mercado_Receita!$T$2:$T$170,"44562A4Energia horáriaNão se aplicaNão se aplicaNão se aplicaNão se aplicaFora ponta",Mercado_Receita!$N$2:$N$170)</f>
        <v>2769.9679999999998</v>
      </c>
      <c r="N3" s="12">
        <f>SUMIF(Mercado_Receita!$T$2:$T$170,"44593A4Energia horáriaNão se aplicaNão se aplicaNão se aplicaNão se aplicaFora ponta",Mercado_Receita!$N$2:$N$170)</f>
        <v>3679.6</v>
      </c>
      <c r="O3" s="12">
        <f>SUMIF(Mercado_Receita!$T$2:$T$170,"44621A4Energia horáriaNão se aplicaNão se aplicaNão se aplicaNão se aplicaFora ponta",Mercado_Receita!$N$2:$N$170)</f>
        <v>4035.0050000000001</v>
      </c>
      <c r="P3" s="12">
        <f>SUMIF(Mercado_Receita!$T$2:$T$170,"44652A4Energia horáriaNão se aplicaNão se aplicaNão se aplicaNão se aplicaFora ponta",Mercado_Receita!$N$2:$N$170)</f>
        <v>3760.2820000000002</v>
      </c>
      <c r="Q3" s="12">
        <f>SUMIF(Mercado_Receita!$T$2:$T$170,"44682A4Energia horáriaNão se aplicaNão se aplicaNão se aplicaNão se aplicaFora ponta",Mercado_Receita!$N$2:$N$170)</f>
        <v>3859.4159999999997</v>
      </c>
      <c r="R3" s="12">
        <f>SUMIF(Mercado_Receita!$T$2:$T$170,"44713A4Energia horáriaNão se aplicaNão se aplicaNão se aplicaNão se aplicaFora ponta",Mercado_Receita!$N$2:$N$170)</f>
        <v>3972.2280000000001</v>
      </c>
      <c r="S3" s="12">
        <f>SUMIF(Mercado_Receita!$T$2:$T$170,"44743A4Energia horáriaNão se aplicaNão se aplicaNão se aplicaNão se aplicaFora ponta",Mercado_Receita!$N$2:$N$170)</f>
        <v>3970.0209999999997</v>
      </c>
      <c r="T3" s="12">
        <f>SUMIF(Mercado_Receita!$T$2:$T$170,"44774A4Energia horáriaNão se aplicaNão se aplicaNão se aplicaNão se aplicaFora ponta",Mercado_Receita!$N$2:$N$170)</f>
        <v>4449.1270000000004</v>
      </c>
      <c r="U3" s="12">
        <f t="shared" si="0"/>
        <v>46701.057000000001</v>
      </c>
      <c r="V3" s="12"/>
      <c r="W3" s="12"/>
    </row>
    <row r="4" spans="1:30" ht="11.25" customHeight="1" x14ac:dyDescent="0.25">
      <c r="A4" s="89" t="s">
        <v>22</v>
      </c>
      <c r="B4" s="89" t="s">
        <v>62</v>
      </c>
      <c r="C4" s="89" t="s">
        <v>24</v>
      </c>
      <c r="D4" s="89" t="s">
        <v>24</v>
      </c>
      <c r="E4" s="89" t="s">
        <v>25</v>
      </c>
      <c r="F4" s="89" t="s">
        <v>25</v>
      </c>
      <c r="G4" s="12" t="s">
        <v>64</v>
      </c>
      <c r="H4" s="12" t="s">
        <v>63</v>
      </c>
      <c r="I4" s="12">
        <f>SUMIF(Mercado_Receita!$T$2:$T$170,"44440B1Energia horáriaResidencialResidencialNão se aplicaNão se aplicaPonta",Mercado_Receita!$N$2:$N$170)</f>
        <v>0</v>
      </c>
      <c r="J4" s="12">
        <f>SUMIF(Mercado_Receita!$T$2:$T$170,"44470B1Energia horáriaResidencialResidencialNão se aplicaNão se aplicaPonta",Mercado_Receita!$N$2:$N$170)</f>
        <v>0</v>
      </c>
      <c r="K4" s="12">
        <f>SUMIF(Mercado_Receita!$T$2:$T$170,"44501B1Energia horáriaResidencialResidencialNão se aplicaNão se aplicaPonta",Mercado_Receita!$N$2:$N$170)</f>
        <v>0</v>
      </c>
      <c r="L4" s="12">
        <f>SUMIF(Mercado_Receita!$T$2:$T$170,"44531B1Energia horáriaResidencialResidencialNão se aplicaNão se aplicaPonta",Mercado_Receita!$N$2:$N$170)</f>
        <v>0</v>
      </c>
      <c r="M4" s="12">
        <f>SUMIF(Mercado_Receita!$T$2:$T$170,"44562B1Energia horáriaResidencialResidencialNão se aplicaNão se aplicaPonta",Mercado_Receita!$N$2:$N$170)</f>
        <v>0</v>
      </c>
      <c r="N4" s="12">
        <f>SUMIF(Mercado_Receita!$T$2:$T$170,"44593B1Energia horáriaResidencialResidencialNão se aplicaNão se aplicaPonta",Mercado_Receita!$N$2:$N$170)</f>
        <v>0</v>
      </c>
      <c r="O4" s="12">
        <f>SUMIF(Mercado_Receita!$T$2:$T$170,"44621B1Energia horáriaResidencialResidencialNão se aplicaNão se aplicaPonta",Mercado_Receita!$N$2:$N$170)</f>
        <v>0</v>
      </c>
      <c r="P4" s="12">
        <f>SUMIF(Mercado_Receita!$T$2:$T$170,"44652B1Energia horáriaResidencialResidencialNão se aplicaNão se aplicaPonta",Mercado_Receita!$N$2:$N$170)</f>
        <v>0</v>
      </c>
      <c r="Q4" s="12">
        <f>SUMIF(Mercado_Receita!$T$2:$T$170,"44682B1Energia horáriaResidencialResidencialNão se aplicaNão se aplicaPonta",Mercado_Receita!$N$2:$N$170)</f>
        <v>0</v>
      </c>
      <c r="R4" s="12">
        <f>SUMIF(Mercado_Receita!$T$2:$T$170,"44713B1Energia horáriaResidencialResidencialNão se aplicaNão se aplicaPonta",Mercado_Receita!$N$2:$N$170)</f>
        <v>0</v>
      </c>
      <c r="S4" s="12">
        <f>SUMIF(Mercado_Receita!$T$2:$T$170,"44743B1Energia horáriaResidencialResidencialNão se aplicaNão se aplicaPonta",Mercado_Receita!$N$2:$N$170)</f>
        <v>0</v>
      </c>
      <c r="T4" s="12">
        <f>SUMIF(Mercado_Receita!$T$2:$T$170,"44774B1Energia horáriaResidencialResidencialNão se aplicaNão se aplicaPonta",Mercado_Receita!$N$2:$N$170)</f>
        <v>0</v>
      </c>
      <c r="U4" s="12">
        <f t="shared" si="0"/>
        <v>0</v>
      </c>
      <c r="V4" s="12"/>
      <c r="W4" s="12"/>
    </row>
    <row r="5" spans="1:30" ht="11.25" customHeight="1" x14ac:dyDescent="0.25">
      <c r="A5" s="90"/>
      <c r="B5" s="90"/>
      <c r="C5" s="90"/>
      <c r="D5" s="90"/>
      <c r="E5" s="90"/>
      <c r="F5" s="90"/>
      <c r="G5" s="12" t="s">
        <v>75</v>
      </c>
      <c r="H5" s="12" t="s">
        <v>63</v>
      </c>
      <c r="I5" s="12">
        <f>SUMIF(Mercado_Receita!$T$2:$T$170,"44440B1Energia horáriaResidencialResidencialNão se aplicaNão se aplicaIntermediário",Mercado_Receita!$N$2:$N$170)</f>
        <v>0</v>
      </c>
      <c r="J5" s="12">
        <f>SUMIF(Mercado_Receita!$T$2:$T$170,"44470B1Energia horáriaResidencialResidencialNão se aplicaNão se aplicaIntermediário",Mercado_Receita!$N$2:$N$170)</f>
        <v>0</v>
      </c>
      <c r="K5" s="12">
        <f>SUMIF(Mercado_Receita!$T$2:$T$170,"44501B1Energia horáriaResidencialResidencialNão se aplicaNão se aplicaIntermediário",Mercado_Receita!$N$2:$N$170)</f>
        <v>0</v>
      </c>
      <c r="L5" s="12">
        <f>SUMIF(Mercado_Receita!$T$2:$T$170,"44531B1Energia horáriaResidencialResidencialNão se aplicaNão se aplicaIntermediário",Mercado_Receita!$N$2:$N$170)</f>
        <v>0</v>
      </c>
      <c r="M5" s="12">
        <f>SUMIF(Mercado_Receita!$T$2:$T$170,"44562B1Energia horáriaResidencialResidencialNão se aplicaNão se aplicaIntermediário",Mercado_Receita!$N$2:$N$170)</f>
        <v>0</v>
      </c>
      <c r="N5" s="12">
        <f>SUMIF(Mercado_Receita!$T$2:$T$170,"44593B1Energia horáriaResidencialResidencialNão se aplicaNão se aplicaIntermediário",Mercado_Receita!$N$2:$N$170)</f>
        <v>0</v>
      </c>
      <c r="O5" s="12">
        <f>SUMIF(Mercado_Receita!$T$2:$T$170,"44621B1Energia horáriaResidencialResidencialNão se aplicaNão se aplicaIntermediário",Mercado_Receita!$N$2:$N$170)</f>
        <v>0</v>
      </c>
      <c r="P5" s="12">
        <f>SUMIF(Mercado_Receita!$T$2:$T$170,"44652B1Energia horáriaResidencialResidencialNão se aplicaNão se aplicaIntermediário",Mercado_Receita!$N$2:$N$170)</f>
        <v>0</v>
      </c>
      <c r="Q5" s="12">
        <f>SUMIF(Mercado_Receita!$T$2:$T$170,"44682B1Energia horáriaResidencialResidencialNão se aplicaNão se aplicaIntermediário",Mercado_Receita!$N$2:$N$170)</f>
        <v>0</v>
      </c>
      <c r="R5" s="12">
        <f>SUMIF(Mercado_Receita!$T$2:$T$170,"44713B1Energia horáriaResidencialResidencialNão se aplicaNão se aplicaIntermediário",Mercado_Receita!$N$2:$N$170)</f>
        <v>0</v>
      </c>
      <c r="S5" s="12">
        <f>SUMIF(Mercado_Receita!$T$2:$T$170,"44743B1Energia horáriaResidencialResidencialNão se aplicaNão se aplicaIntermediário",Mercado_Receita!$N$2:$N$170)</f>
        <v>0</v>
      </c>
      <c r="T5" s="12">
        <f>SUMIF(Mercado_Receita!$T$2:$T$170,"44774B1Energia horáriaResidencialResidencialNão se aplicaNão se aplicaIntermediário",Mercado_Receita!$N$2:$N$170)</f>
        <v>0</v>
      </c>
      <c r="U5" s="12">
        <f t="shared" si="0"/>
        <v>0</v>
      </c>
      <c r="V5" s="12"/>
      <c r="W5" s="12"/>
    </row>
    <row r="6" spans="1:30" ht="11.25" customHeight="1" x14ac:dyDescent="0.25">
      <c r="A6" s="90"/>
      <c r="B6" s="90"/>
      <c r="C6" s="90"/>
      <c r="D6" s="90"/>
      <c r="E6" s="90"/>
      <c r="F6" s="90"/>
      <c r="G6" s="12" t="s">
        <v>65</v>
      </c>
      <c r="H6" s="12" t="s">
        <v>63</v>
      </c>
      <c r="I6" s="12">
        <f>SUMIF(Mercado_Receita!$T$2:$T$170,"44440B1Energia horáriaResidencialResidencialNão se aplicaNão se aplicaFora ponta",Mercado_Receita!$N$2:$N$170)</f>
        <v>0</v>
      </c>
      <c r="J6" s="12">
        <f>SUMIF(Mercado_Receita!$T$2:$T$170,"44470B1Energia horáriaResidencialResidencialNão se aplicaNão se aplicaFora ponta",Mercado_Receita!$N$2:$N$170)</f>
        <v>0</v>
      </c>
      <c r="K6" s="12">
        <f>SUMIF(Mercado_Receita!$T$2:$T$170,"44501B1Energia horáriaResidencialResidencialNão se aplicaNão se aplicaFora ponta",Mercado_Receita!$N$2:$N$170)</f>
        <v>0</v>
      </c>
      <c r="L6" s="12">
        <f>SUMIF(Mercado_Receita!$T$2:$T$170,"44531B1Energia horáriaResidencialResidencialNão se aplicaNão se aplicaFora ponta",Mercado_Receita!$N$2:$N$170)</f>
        <v>0</v>
      </c>
      <c r="M6" s="12">
        <f>SUMIF(Mercado_Receita!$T$2:$T$170,"44562B1Energia horáriaResidencialResidencialNão se aplicaNão se aplicaFora ponta",Mercado_Receita!$N$2:$N$170)</f>
        <v>0</v>
      </c>
      <c r="N6" s="12">
        <f>SUMIF(Mercado_Receita!$T$2:$T$170,"44593B1Energia horáriaResidencialResidencialNão se aplicaNão se aplicaFora ponta",Mercado_Receita!$N$2:$N$170)</f>
        <v>0</v>
      </c>
      <c r="O6" s="12">
        <f>SUMIF(Mercado_Receita!$T$2:$T$170,"44621B1Energia horáriaResidencialResidencialNão se aplicaNão se aplicaFora ponta",Mercado_Receita!$N$2:$N$170)</f>
        <v>0</v>
      </c>
      <c r="P6" s="12">
        <f>SUMIF(Mercado_Receita!$T$2:$T$170,"44652B1Energia horáriaResidencialResidencialNão se aplicaNão se aplicaFora ponta",Mercado_Receita!$N$2:$N$170)</f>
        <v>0</v>
      </c>
      <c r="Q6" s="12">
        <f>SUMIF(Mercado_Receita!$T$2:$T$170,"44682B1Energia horáriaResidencialResidencialNão se aplicaNão se aplicaFora ponta",Mercado_Receita!$N$2:$N$170)</f>
        <v>0</v>
      </c>
      <c r="R6" s="12">
        <f>SUMIF(Mercado_Receita!$T$2:$T$170,"44713B1Energia horáriaResidencialResidencialNão se aplicaNão se aplicaFora ponta",Mercado_Receita!$N$2:$N$170)</f>
        <v>0</v>
      </c>
      <c r="S6" s="12">
        <f>SUMIF(Mercado_Receita!$T$2:$T$170,"44743B1Energia horáriaResidencialResidencialNão se aplicaNão se aplicaFora ponta",Mercado_Receita!$N$2:$N$170)</f>
        <v>0</v>
      </c>
      <c r="T6" s="12">
        <f>SUMIF(Mercado_Receita!$T$2:$T$170,"44774B1Energia horáriaResidencialResidencialNão se aplicaNão se aplicaFora ponta",Mercado_Receita!$N$2:$N$170)</f>
        <v>0</v>
      </c>
      <c r="U6" s="12">
        <f t="shared" si="0"/>
        <v>0</v>
      </c>
      <c r="V6" s="12"/>
      <c r="W6" s="12"/>
    </row>
    <row r="7" spans="1:30" ht="11.25" customHeight="1" x14ac:dyDescent="0.25">
      <c r="A7" s="90"/>
      <c r="B7" s="89" t="s">
        <v>76</v>
      </c>
      <c r="C7" s="89" t="s">
        <v>24</v>
      </c>
      <c r="D7" s="13" t="s">
        <v>24</v>
      </c>
      <c r="E7" s="13" t="s">
        <v>25</v>
      </c>
      <c r="F7" s="13" t="s">
        <v>25</v>
      </c>
      <c r="G7" s="12" t="s">
        <v>69</v>
      </c>
      <c r="H7" s="12" t="s">
        <v>63</v>
      </c>
      <c r="I7" s="12">
        <f>SUMIF(Mercado_Receita!$T$2:$T$170,"44440B1Energia convencionalResidencialResidencialNão se aplicaNão se aplicaNão se aplica",Mercado_Receita!$N$2:$N$170)</f>
        <v>237.81800000000001</v>
      </c>
      <c r="J7" s="12">
        <f>SUMIF(Mercado_Receita!$T$2:$T$170,"44470B1Energia convencionalResidencialResidencialNão se aplicaNão se aplicaNão se aplica",Mercado_Receita!$N$2:$N$170)</f>
        <v>237.14400000000001</v>
      </c>
      <c r="K7" s="12">
        <f>SUMIF(Mercado_Receita!$T$2:$T$170,"44501B1Energia convencionalResidencialResidencialNão se aplicaNão se aplicaNão se aplica",Mercado_Receita!$N$2:$N$170)</f>
        <v>237.858</v>
      </c>
      <c r="L7" s="12">
        <f>SUMIF(Mercado_Receita!$T$2:$T$170,"44531B1Energia convencionalResidencialResidencialNão se aplicaNão se aplicaNão se aplica",Mercado_Receita!$N$2:$N$170)</f>
        <v>240.846</v>
      </c>
      <c r="M7" s="12">
        <f>SUMIF(Mercado_Receita!$T$2:$T$170,"44562B1Energia convencionalResidencialResidencialNão se aplicaNão se aplicaNão se aplica",Mercado_Receita!$N$2:$N$170)</f>
        <v>274.649</v>
      </c>
      <c r="N7" s="12">
        <f>SUMIF(Mercado_Receita!$T$2:$T$170,"44593B1Energia convencionalResidencialResidencialNão se aplicaNão se aplicaNão se aplica",Mercado_Receita!$N$2:$N$170)</f>
        <v>277.30799999999999</v>
      </c>
      <c r="O7" s="12">
        <f>SUMIF(Mercado_Receita!$T$2:$T$170,"44621B1Energia convencionalResidencialResidencialNão se aplicaNão se aplicaNão se aplica",Mercado_Receita!$N$2:$N$170)</f>
        <v>252.50700000000001</v>
      </c>
      <c r="P7" s="12">
        <f>SUMIF(Mercado_Receita!$T$2:$T$170,"44652B1Energia convencionalResidencialResidencialNão se aplicaNão se aplicaNão se aplica",Mercado_Receita!$N$2:$N$170)</f>
        <v>259.29199999999997</v>
      </c>
      <c r="Q7" s="12">
        <f>SUMIF(Mercado_Receita!$T$2:$T$170,"44682B1Energia convencionalResidencialResidencialNão se aplicaNão se aplicaNão se aplica",Mercado_Receita!$N$2:$N$170)</f>
        <v>229.471</v>
      </c>
      <c r="R7" s="12">
        <f>SUMIF(Mercado_Receita!$T$2:$T$170,"44713B1Energia convencionalResidencialResidencialNão se aplicaNão se aplicaNão se aplica",Mercado_Receita!$N$2:$N$170)</f>
        <v>237.602</v>
      </c>
      <c r="S7" s="12">
        <f>SUMIF(Mercado_Receita!$T$2:$T$170,"44743B1Energia convencionalResidencialResidencialNão se aplicaNão se aplicaNão se aplica",Mercado_Receita!$N$2:$N$170)</f>
        <v>238.339</v>
      </c>
      <c r="T7" s="12">
        <f>SUMIF(Mercado_Receita!$T$2:$T$170,"44774B1Energia convencionalResidencialResidencialNão se aplicaNão se aplicaNão se aplica",Mercado_Receita!$N$2:$N$170)</f>
        <v>245.88</v>
      </c>
      <c r="U7" s="12">
        <f t="shared" si="0"/>
        <v>2968.7139999999999</v>
      </c>
      <c r="V7" s="12"/>
      <c r="W7" s="12"/>
    </row>
    <row r="8" spans="1:30" ht="11.25" customHeight="1" x14ac:dyDescent="0.25">
      <c r="A8" s="90"/>
      <c r="B8" s="90"/>
      <c r="C8" s="90"/>
      <c r="D8" s="13" t="s">
        <v>27</v>
      </c>
      <c r="E8" s="13" t="s">
        <v>25</v>
      </c>
      <c r="F8" s="13" t="s">
        <v>25</v>
      </c>
      <c r="G8" s="12" t="s">
        <v>69</v>
      </c>
      <c r="H8" s="12" t="s">
        <v>63</v>
      </c>
      <c r="I8" s="12">
        <f>SUMIF(Mercado_Receita!$T$2:$T$170,"44440B1Energia convencionalResidencialResidencial baixa renda – faixa 01Não se aplicaNão se aplicaNão se aplica",Mercado_Receita!$N$2:$N$170)</f>
        <v>0.06</v>
      </c>
      <c r="J8" s="12">
        <f>SUMIF(Mercado_Receita!$T$2:$T$170,"44470B1Energia convencionalResidencialResidencial baixa renda – faixa 01Não se aplicaNão se aplicaNão se aplica",Mercado_Receita!$N$2:$N$170)</f>
        <v>0.189</v>
      </c>
      <c r="K8" s="12">
        <f>SUMIF(Mercado_Receita!$T$2:$T$170,"44501B1Energia convencionalResidencialResidencial baixa renda – faixa 01Não se aplicaNão se aplicaNão se aplica",Mercado_Receita!$N$2:$N$170)</f>
        <v>0.19400000000000001</v>
      </c>
      <c r="L8" s="12">
        <f>SUMIF(Mercado_Receita!$T$2:$T$170,"44531B1Energia convencionalResidencialResidencial baixa renda – faixa 01Não se aplicaNão se aplicaNão se aplica",Mercado_Receita!$N$2:$N$170)</f>
        <v>0.19400000000000001</v>
      </c>
      <c r="M8" s="12">
        <f>SUMIF(Mercado_Receita!$T$2:$T$170,"44562B1Energia convencionalResidencialResidencial baixa renda – faixa 01Não se aplicaNão se aplicaNão se aplica",Mercado_Receita!$N$2:$N$170)</f>
        <v>0.19600000000000001</v>
      </c>
      <c r="N8" s="12">
        <f>SUMIF(Mercado_Receita!$T$2:$T$170,"44593B1Energia convencionalResidencialResidencial baixa renda – faixa 01Não se aplicaNão se aplicaNão se aplica",Mercado_Receita!$N$2:$N$170)</f>
        <v>0.33700000000000002</v>
      </c>
      <c r="O8" s="12">
        <f>SUMIF(Mercado_Receita!$T$2:$T$170,"44621B1Energia convencionalResidencialResidencial baixa renda – faixa 01Não se aplicaNão se aplicaNão se aplica",Mercado_Receita!$N$2:$N$170)</f>
        <v>0.33</v>
      </c>
      <c r="P8" s="12">
        <f>SUMIF(Mercado_Receita!$T$2:$T$170,"44652B1Energia convencionalResidencialResidencial baixa renda – faixa 01Não se aplicaNão se aplicaNão se aplica",Mercado_Receita!$N$2:$N$170)</f>
        <v>0.33</v>
      </c>
      <c r="Q8" s="12">
        <f>SUMIF(Mercado_Receita!$T$2:$T$170,"44682B1Energia convencionalResidencialResidencial baixa renda – faixa 01Não se aplicaNão se aplicaNão se aplica",Mercado_Receita!$N$2:$N$170)</f>
        <v>0.33</v>
      </c>
      <c r="R8" s="12">
        <f>SUMIF(Mercado_Receita!$T$2:$T$170,"44713B1Energia convencionalResidencialResidencial baixa renda – faixa 01Não se aplicaNão se aplicaNão se aplica",Mercado_Receita!$N$2:$N$170)</f>
        <v>0.33</v>
      </c>
      <c r="S8" s="12">
        <f>SUMIF(Mercado_Receita!$T$2:$T$170,"44743B1Energia convencionalResidencialResidencial baixa renda – faixa 01Não se aplicaNão se aplicaNão se aplica",Mercado_Receita!$N$2:$N$170)</f>
        <v>0.33</v>
      </c>
      <c r="T8" s="12">
        <f>SUMIF(Mercado_Receita!$T$2:$T$170,"44774B1Energia convencionalResidencialResidencial baixa renda – faixa 01Não se aplicaNão se aplicaNão se aplica",Mercado_Receita!$N$2:$N$170)</f>
        <v>0.185</v>
      </c>
      <c r="U8" s="12">
        <f t="shared" si="0"/>
        <v>3.0050000000000003</v>
      </c>
      <c r="V8" s="12"/>
      <c r="W8" s="12"/>
    </row>
    <row r="9" spans="1:30" ht="11.25" customHeight="1" x14ac:dyDescent="0.25">
      <c r="A9" s="90"/>
      <c r="B9" s="90"/>
      <c r="C9" s="90"/>
      <c r="D9" s="13" t="s">
        <v>28</v>
      </c>
      <c r="E9" s="13" t="s">
        <v>25</v>
      </c>
      <c r="F9" s="13" t="s">
        <v>25</v>
      </c>
      <c r="G9" s="12" t="s">
        <v>69</v>
      </c>
      <c r="H9" s="12" t="s">
        <v>63</v>
      </c>
      <c r="I9" s="12">
        <f>SUMIF(Mercado_Receita!$T$2:$T$170,"44440B1Energia convencionalResidencialResidencial baixa renda – faixa 02Não se aplicaNão se aplicaNão se aplica",Mercado_Receita!$N$2:$N$170)</f>
        <v>8.5999999999999993E-2</v>
      </c>
      <c r="J9" s="12">
        <f>SUMIF(Mercado_Receita!$T$2:$T$170,"44470B1Energia convencionalResidencialResidencial baixa renda – faixa 02Não se aplicaNão se aplicaNão se aplica",Mercado_Receita!$N$2:$N$170)</f>
        <v>0.44600000000000001</v>
      </c>
      <c r="K9" s="12">
        <f>SUMIF(Mercado_Receita!$T$2:$T$170,"44501B1Energia convencionalResidencialResidencial baixa renda – faixa 02Não se aplicaNão se aplicaNão se aplica",Mercado_Receita!$N$2:$N$170)</f>
        <v>0.36399999999999999</v>
      </c>
      <c r="L9" s="12">
        <f>SUMIF(Mercado_Receita!$T$2:$T$170,"44531B1Energia convencionalResidencialResidencial baixa renda – faixa 02Não se aplicaNão se aplicaNão se aplica",Mercado_Receita!$N$2:$N$170)</f>
        <v>0.32400000000000001</v>
      </c>
      <c r="M9" s="12">
        <f>SUMIF(Mercado_Receita!$T$2:$T$170,"44562B1Energia convencionalResidencialResidencial baixa renda – faixa 02Não se aplicaNão se aplicaNão se aplica",Mercado_Receita!$N$2:$N$170)</f>
        <v>0.49199999999999999</v>
      </c>
      <c r="N9" s="12">
        <f>SUMIF(Mercado_Receita!$T$2:$T$170,"44593B1Energia convencionalResidencialResidencial baixa renda – faixa 02Não se aplicaNão se aplicaNão se aplica",Mercado_Receita!$N$2:$N$170)</f>
        <v>0.56599999999999995</v>
      </c>
      <c r="O9" s="12">
        <f>SUMIF(Mercado_Receita!$T$2:$T$170,"44621B1Energia convencionalResidencialResidencial baixa renda – faixa 02Não se aplicaNão se aplicaNão se aplica",Mercado_Receita!$N$2:$N$170)</f>
        <v>0.503</v>
      </c>
      <c r="P9" s="12">
        <f>SUMIF(Mercado_Receita!$T$2:$T$170,"44652B1Energia convencionalResidencialResidencial baixa renda – faixa 02Não se aplicaNão se aplicaNão se aplica",Mercado_Receita!$N$2:$N$170)</f>
        <v>0.56599999999999995</v>
      </c>
      <c r="Q9" s="12">
        <f>SUMIF(Mercado_Receita!$T$2:$T$170,"44682B1Energia convencionalResidencialResidencial baixa renda – faixa 02Não se aplicaNão se aplicaNão se aplica",Mercado_Receita!$N$2:$N$170)</f>
        <v>0.38900000000000001</v>
      </c>
      <c r="R9" s="12">
        <f>SUMIF(Mercado_Receita!$T$2:$T$170,"44713B1Energia convencionalResidencialResidencial baixa renda – faixa 02Não se aplicaNão se aplicaNão se aplica",Mercado_Receita!$N$2:$N$170)</f>
        <v>0.42399999999999999</v>
      </c>
      <c r="S9" s="12">
        <f>SUMIF(Mercado_Receita!$T$2:$T$170,"44743B1Energia convencionalResidencialResidencial baixa renda – faixa 02Não se aplicaNão se aplicaNão se aplica",Mercado_Receita!$N$2:$N$170)</f>
        <v>0.33300000000000002</v>
      </c>
      <c r="T9" s="12">
        <f>SUMIF(Mercado_Receita!$T$2:$T$170,"44774B1Energia convencionalResidencialResidencial baixa renda – faixa 02Não se aplicaNão se aplicaNão se aplica",Mercado_Receita!$N$2:$N$170)</f>
        <v>0.31900000000000001</v>
      </c>
      <c r="U9" s="12">
        <f t="shared" si="0"/>
        <v>4.8120000000000003</v>
      </c>
      <c r="V9" s="12"/>
      <c r="W9" s="12"/>
    </row>
    <row r="10" spans="1:30" ht="11.25" customHeight="1" x14ac:dyDescent="0.25">
      <c r="A10" s="90"/>
      <c r="B10" s="90"/>
      <c r="C10" s="90"/>
      <c r="D10" s="13" t="s">
        <v>29</v>
      </c>
      <c r="E10" s="13" t="s">
        <v>25</v>
      </c>
      <c r="F10" s="13" t="s">
        <v>25</v>
      </c>
      <c r="G10" s="12" t="s">
        <v>69</v>
      </c>
      <c r="H10" s="12" t="s">
        <v>63</v>
      </c>
      <c r="I10" s="12">
        <f>SUMIF(Mercado_Receita!$T$2:$T$170,"44440B1Energia convencionalResidencialResidencial baixa renda – faixa 03Não se aplicaNão se aplicaNão se aplica",Mercado_Receita!$N$2:$N$170)</f>
        <v>0.12</v>
      </c>
      <c r="J10" s="12">
        <f>SUMIF(Mercado_Receita!$T$2:$T$170,"44470B1Energia convencionalResidencialResidencial baixa renda – faixa 03Não se aplicaNão se aplicaNão se aplica",Mercado_Receita!$N$2:$N$170)</f>
        <v>0</v>
      </c>
      <c r="K10" s="12">
        <f>SUMIF(Mercado_Receita!$T$2:$T$170,"44501B1Energia convencionalResidencialResidencial baixa renda – faixa 03Não se aplicaNão se aplicaNão se aplica",Mercado_Receita!$N$2:$N$170)</f>
        <v>0</v>
      </c>
      <c r="L10" s="12">
        <f>SUMIF(Mercado_Receita!$T$2:$T$170,"44531B1Energia convencionalResidencialResidencial baixa renda – faixa 03Não se aplicaNão se aplicaNão se aplica",Mercado_Receita!$N$2:$N$170)</f>
        <v>0</v>
      </c>
      <c r="M10" s="12">
        <f>SUMIF(Mercado_Receita!$T$2:$T$170,"44562B1Energia convencionalResidencialResidencial baixa renda – faixa 03Não se aplicaNão se aplicaNão se aplica",Mercado_Receita!$N$2:$N$170)</f>
        <v>0</v>
      </c>
      <c r="N10" s="12">
        <f>SUMIF(Mercado_Receita!$T$2:$T$170,"44593B1Energia convencionalResidencialResidencial baixa renda – faixa 03Não se aplicaNão se aplicaNão se aplica",Mercado_Receita!$N$2:$N$170)</f>
        <v>0</v>
      </c>
      <c r="O10" s="12">
        <f>SUMIF(Mercado_Receita!$T$2:$T$170,"44621B1Energia convencionalResidencialResidencial baixa renda – faixa 03Não se aplicaNão se aplicaNão se aplica",Mercado_Receita!$N$2:$N$170)</f>
        <v>0</v>
      </c>
      <c r="P10" s="12">
        <f>SUMIF(Mercado_Receita!$T$2:$T$170,"44652B1Energia convencionalResidencialResidencial baixa renda – faixa 03Não se aplicaNão se aplicaNão se aplica",Mercado_Receita!$N$2:$N$170)</f>
        <v>0</v>
      </c>
      <c r="Q10" s="12">
        <f>SUMIF(Mercado_Receita!$T$2:$T$170,"44682B1Energia convencionalResidencialResidencial baixa renda – faixa 03Não se aplicaNão se aplicaNão se aplica",Mercado_Receita!$N$2:$N$170)</f>
        <v>0</v>
      </c>
      <c r="R10" s="12">
        <f>SUMIF(Mercado_Receita!$T$2:$T$170,"44713B1Energia convencionalResidencialResidencial baixa renda – faixa 03Não se aplicaNão se aplicaNão se aplica",Mercado_Receita!$N$2:$N$170)</f>
        <v>0</v>
      </c>
      <c r="S10" s="12">
        <f>SUMIF(Mercado_Receita!$T$2:$T$170,"44743B1Energia convencionalResidencialResidencial baixa renda – faixa 03Não se aplicaNão se aplicaNão se aplica",Mercado_Receita!$N$2:$N$170)</f>
        <v>0</v>
      </c>
      <c r="T10" s="12">
        <f>SUMIF(Mercado_Receita!$T$2:$T$170,"44774B1Energia convencionalResidencialResidencial baixa renda – faixa 03Não se aplicaNão se aplicaNão se aplica",Mercado_Receita!$N$2:$N$170)</f>
        <v>0</v>
      </c>
      <c r="U10" s="12">
        <f t="shared" si="0"/>
        <v>0.12</v>
      </c>
      <c r="V10" s="12"/>
      <c r="W10" s="12"/>
    </row>
    <row r="11" spans="1:30" ht="11.25" customHeight="1" x14ac:dyDescent="0.25">
      <c r="A11" s="90"/>
      <c r="B11" s="90"/>
      <c r="C11" s="90"/>
      <c r="D11" s="13" t="s">
        <v>30</v>
      </c>
      <c r="E11" s="13" t="s">
        <v>25</v>
      </c>
      <c r="F11" s="13" t="s">
        <v>25</v>
      </c>
      <c r="G11" s="12" t="s">
        <v>69</v>
      </c>
      <c r="H11" s="12" t="s">
        <v>63</v>
      </c>
      <c r="I11" s="12">
        <f>SUMIF(Mercado_Receita!$T$2:$T$170,"44440B1Energia convencionalResidencialResidencial baixa renda – faixa 04Não se aplicaNão se aplicaNão se aplica",Mercado_Receita!$N$2:$N$170)</f>
        <v>0.31900000000000001</v>
      </c>
      <c r="J11" s="12">
        <f>SUMIF(Mercado_Receita!$T$2:$T$170,"44470B1Energia convencionalResidencialResidencial baixa renda – faixa 04Não se aplicaNão se aplicaNão se aplica",Mercado_Receita!$N$2:$N$170)</f>
        <v>0</v>
      </c>
      <c r="K11" s="12">
        <f>SUMIF(Mercado_Receita!$T$2:$T$170,"44501B1Energia convencionalResidencialResidencial baixa renda – faixa 04Não se aplicaNão se aplicaNão se aplica",Mercado_Receita!$N$2:$N$170)</f>
        <v>0</v>
      </c>
      <c r="L11" s="12">
        <f>SUMIF(Mercado_Receita!$T$2:$T$170,"44531B1Energia convencionalResidencialResidencial baixa renda – faixa 04Não se aplicaNão se aplicaNão se aplica",Mercado_Receita!$N$2:$N$170)</f>
        <v>0</v>
      </c>
      <c r="M11" s="12">
        <f>SUMIF(Mercado_Receita!$T$2:$T$170,"44562B1Energia convencionalResidencialResidencial baixa renda – faixa 04Não se aplicaNão se aplicaNão se aplica",Mercado_Receita!$N$2:$N$170)</f>
        <v>0</v>
      </c>
      <c r="N11" s="12">
        <f>SUMIF(Mercado_Receita!$T$2:$T$170,"44593B1Energia convencionalResidencialResidencial baixa renda – faixa 04Não se aplicaNão se aplicaNão se aplica",Mercado_Receita!$N$2:$N$170)</f>
        <v>0</v>
      </c>
      <c r="O11" s="12">
        <f>SUMIF(Mercado_Receita!$T$2:$T$170,"44621B1Energia convencionalResidencialResidencial baixa renda – faixa 04Não se aplicaNão se aplicaNão se aplica",Mercado_Receita!$N$2:$N$170)</f>
        <v>0</v>
      </c>
      <c r="P11" s="12">
        <f>SUMIF(Mercado_Receita!$T$2:$T$170,"44652B1Energia convencionalResidencialResidencial baixa renda – faixa 04Não se aplicaNão se aplicaNão se aplica",Mercado_Receita!$N$2:$N$170)</f>
        <v>0</v>
      </c>
      <c r="Q11" s="12">
        <f>SUMIF(Mercado_Receita!$T$2:$T$170,"44682B1Energia convencionalResidencialResidencial baixa renda – faixa 04Não se aplicaNão se aplicaNão se aplica",Mercado_Receita!$N$2:$N$170)</f>
        <v>0</v>
      </c>
      <c r="R11" s="12">
        <f>SUMIF(Mercado_Receita!$T$2:$T$170,"44713B1Energia convencionalResidencialResidencial baixa renda – faixa 04Não se aplicaNão se aplicaNão se aplica",Mercado_Receita!$N$2:$N$170)</f>
        <v>0</v>
      </c>
      <c r="S11" s="12">
        <f>SUMIF(Mercado_Receita!$T$2:$T$170,"44743B1Energia convencionalResidencialResidencial baixa renda – faixa 04Não se aplicaNão se aplicaNão se aplica",Mercado_Receita!$N$2:$N$170)</f>
        <v>0</v>
      </c>
      <c r="T11" s="12">
        <f>SUMIF(Mercado_Receita!$T$2:$T$170,"44774B1Energia convencionalResidencialResidencial baixa renda – faixa 04Não se aplicaNão se aplicaNão se aplica",Mercado_Receita!$N$2:$N$170)</f>
        <v>0</v>
      </c>
      <c r="U11" s="12">
        <f t="shared" si="0"/>
        <v>0.31900000000000001</v>
      </c>
      <c r="V11" s="12"/>
      <c r="W11" s="12"/>
    </row>
    <row r="12" spans="1:30" ht="11.25" customHeight="1" x14ac:dyDescent="0.25">
      <c r="A12" s="90"/>
      <c r="B12" s="89" t="s">
        <v>78</v>
      </c>
      <c r="C12" s="89" t="s">
        <v>24</v>
      </c>
      <c r="D12" s="13" t="s">
        <v>24</v>
      </c>
      <c r="E12" s="13" t="s">
        <v>25</v>
      </c>
      <c r="F12" s="13" t="s">
        <v>25</v>
      </c>
      <c r="G12" s="12" t="s">
        <v>69</v>
      </c>
      <c r="H12" s="12" t="s">
        <v>63</v>
      </c>
      <c r="I12" s="12">
        <f>SUMIF(Mercado_Receita!$T$2:$T$170,"44440B1Energia convencional pré-pagamentoResidencialResidencialNão se aplicaNão se aplicaNão se aplica",Mercado_Receita!$N$2:$N$170)</f>
        <v>0</v>
      </c>
      <c r="J12" s="12">
        <f>SUMIF(Mercado_Receita!$T$2:$T$170,"44470B1Energia convencional pré-pagamentoResidencialResidencialNão se aplicaNão se aplicaNão se aplica",Mercado_Receita!$N$2:$N$170)</f>
        <v>0</v>
      </c>
      <c r="K12" s="12">
        <f>SUMIF(Mercado_Receita!$T$2:$T$170,"44501B1Energia convencional pré-pagamentoResidencialResidencialNão se aplicaNão se aplicaNão se aplica",Mercado_Receita!$N$2:$N$170)</f>
        <v>0</v>
      </c>
      <c r="L12" s="12">
        <f>SUMIF(Mercado_Receita!$T$2:$T$170,"44531B1Energia convencional pré-pagamentoResidencialResidencialNão se aplicaNão se aplicaNão se aplica",Mercado_Receita!$N$2:$N$170)</f>
        <v>0</v>
      </c>
      <c r="M12" s="12">
        <f>SUMIF(Mercado_Receita!$T$2:$T$170,"44562B1Energia convencional pré-pagamentoResidencialResidencialNão se aplicaNão se aplicaNão se aplica",Mercado_Receita!$N$2:$N$170)</f>
        <v>0</v>
      </c>
      <c r="N12" s="12">
        <f>SUMIF(Mercado_Receita!$T$2:$T$170,"44593B1Energia convencional pré-pagamentoResidencialResidencialNão se aplicaNão se aplicaNão se aplica",Mercado_Receita!$N$2:$N$170)</f>
        <v>0</v>
      </c>
      <c r="O12" s="12">
        <f>SUMIF(Mercado_Receita!$T$2:$T$170,"44621B1Energia convencional pré-pagamentoResidencialResidencialNão se aplicaNão se aplicaNão se aplica",Mercado_Receita!$N$2:$N$170)</f>
        <v>0</v>
      </c>
      <c r="P12" s="12">
        <f>SUMIF(Mercado_Receita!$T$2:$T$170,"44652B1Energia convencional pré-pagamentoResidencialResidencialNão se aplicaNão se aplicaNão se aplica",Mercado_Receita!$N$2:$N$170)</f>
        <v>0</v>
      </c>
      <c r="Q12" s="12">
        <f>SUMIF(Mercado_Receita!$T$2:$T$170,"44682B1Energia convencional pré-pagamentoResidencialResidencialNão se aplicaNão se aplicaNão se aplica",Mercado_Receita!$N$2:$N$170)</f>
        <v>0</v>
      </c>
      <c r="R12" s="12">
        <f>SUMIF(Mercado_Receita!$T$2:$T$170,"44713B1Energia convencional pré-pagamentoResidencialResidencialNão se aplicaNão se aplicaNão se aplica",Mercado_Receita!$N$2:$N$170)</f>
        <v>0</v>
      </c>
      <c r="S12" s="12">
        <f>SUMIF(Mercado_Receita!$T$2:$T$170,"44743B1Energia convencional pré-pagamentoResidencialResidencialNão se aplicaNão se aplicaNão se aplica",Mercado_Receita!$N$2:$N$170)</f>
        <v>0</v>
      </c>
      <c r="T12" s="12">
        <f>SUMIF(Mercado_Receita!$T$2:$T$170,"44774B1Energia convencional pré-pagamentoResidencialResidencialNão se aplicaNão se aplicaNão se aplica",Mercado_Receita!$N$2:$N$170)</f>
        <v>0</v>
      </c>
      <c r="U12" s="12">
        <f t="shared" si="0"/>
        <v>0</v>
      </c>
      <c r="V12" s="12"/>
      <c r="W12" s="12"/>
    </row>
    <row r="13" spans="1:30" ht="11.25" customHeight="1" x14ac:dyDescent="0.25">
      <c r="A13" s="90"/>
      <c r="B13" s="90"/>
      <c r="C13" s="90"/>
      <c r="D13" s="13" t="s">
        <v>27</v>
      </c>
      <c r="E13" s="13" t="s">
        <v>25</v>
      </c>
      <c r="F13" s="13" t="s">
        <v>25</v>
      </c>
      <c r="G13" s="12" t="s">
        <v>69</v>
      </c>
      <c r="H13" s="12" t="s">
        <v>63</v>
      </c>
      <c r="I13" s="12">
        <f>SUMIF(Mercado_Receita!$T$2:$T$170,"44440B1Energia convencional pré-pagamentoResidencialResidencial baixa renda – faixa 01Não se aplicaNão se aplicaNão se aplica",Mercado_Receita!$N$2:$N$170)</f>
        <v>0</v>
      </c>
      <c r="J13" s="12">
        <f>SUMIF(Mercado_Receita!$T$2:$T$170,"44470B1Energia convencional pré-pagamentoResidencialResidencial baixa renda – faixa 01Não se aplicaNão se aplicaNão se aplica",Mercado_Receita!$N$2:$N$170)</f>
        <v>0</v>
      </c>
      <c r="K13" s="12">
        <f>SUMIF(Mercado_Receita!$T$2:$T$170,"44501B1Energia convencional pré-pagamentoResidencialResidencial baixa renda – faixa 01Não se aplicaNão se aplicaNão se aplica",Mercado_Receita!$N$2:$N$170)</f>
        <v>0</v>
      </c>
      <c r="L13" s="12">
        <f>SUMIF(Mercado_Receita!$T$2:$T$170,"44531B1Energia convencional pré-pagamentoResidencialResidencial baixa renda – faixa 01Não se aplicaNão se aplicaNão se aplica",Mercado_Receita!$N$2:$N$170)</f>
        <v>0</v>
      </c>
      <c r="M13" s="12">
        <f>SUMIF(Mercado_Receita!$T$2:$T$170,"44562B1Energia convencional pré-pagamentoResidencialResidencial baixa renda – faixa 01Não se aplicaNão se aplicaNão se aplica",Mercado_Receita!$N$2:$N$170)</f>
        <v>0</v>
      </c>
      <c r="N13" s="12">
        <f>SUMIF(Mercado_Receita!$T$2:$T$170,"44593B1Energia convencional pré-pagamentoResidencialResidencial baixa renda – faixa 01Não se aplicaNão se aplicaNão se aplica",Mercado_Receita!$N$2:$N$170)</f>
        <v>0</v>
      </c>
      <c r="O13" s="12">
        <f>SUMIF(Mercado_Receita!$T$2:$T$170,"44621B1Energia convencional pré-pagamentoResidencialResidencial baixa renda – faixa 01Não se aplicaNão se aplicaNão se aplica",Mercado_Receita!$N$2:$N$170)</f>
        <v>0</v>
      </c>
      <c r="P13" s="12">
        <f>SUMIF(Mercado_Receita!$T$2:$T$170,"44652B1Energia convencional pré-pagamentoResidencialResidencial baixa renda – faixa 01Não se aplicaNão se aplicaNão se aplica",Mercado_Receita!$N$2:$N$170)</f>
        <v>0</v>
      </c>
      <c r="Q13" s="12">
        <f>SUMIF(Mercado_Receita!$T$2:$T$170,"44682B1Energia convencional pré-pagamentoResidencialResidencial baixa renda – faixa 01Não se aplicaNão se aplicaNão se aplica",Mercado_Receita!$N$2:$N$170)</f>
        <v>0</v>
      </c>
      <c r="R13" s="12">
        <f>SUMIF(Mercado_Receita!$T$2:$T$170,"44713B1Energia convencional pré-pagamentoResidencialResidencial baixa renda – faixa 01Não se aplicaNão se aplicaNão se aplica",Mercado_Receita!$N$2:$N$170)</f>
        <v>0</v>
      </c>
      <c r="S13" s="12">
        <f>SUMIF(Mercado_Receita!$T$2:$T$170,"44743B1Energia convencional pré-pagamentoResidencialResidencial baixa renda – faixa 01Não se aplicaNão se aplicaNão se aplica",Mercado_Receita!$N$2:$N$170)</f>
        <v>0</v>
      </c>
      <c r="T13" s="12">
        <f>SUMIF(Mercado_Receita!$T$2:$T$170,"44774B1Energia convencional pré-pagamentoResidencialResidencial baixa renda – faixa 01Não se aplicaNão se aplicaNão se aplica",Mercado_Receita!$N$2:$N$170)</f>
        <v>0</v>
      </c>
      <c r="U13" s="12">
        <f t="shared" si="0"/>
        <v>0</v>
      </c>
      <c r="V13" s="12"/>
      <c r="W13" s="12"/>
    </row>
    <row r="14" spans="1:30" ht="11.25" customHeight="1" x14ac:dyDescent="0.25">
      <c r="A14" s="90"/>
      <c r="B14" s="90"/>
      <c r="C14" s="90"/>
      <c r="D14" s="13" t="s">
        <v>28</v>
      </c>
      <c r="E14" s="13" t="s">
        <v>25</v>
      </c>
      <c r="F14" s="13" t="s">
        <v>25</v>
      </c>
      <c r="G14" s="12" t="s">
        <v>69</v>
      </c>
      <c r="H14" s="12" t="s">
        <v>63</v>
      </c>
      <c r="I14" s="12">
        <f>SUMIF(Mercado_Receita!$T$2:$T$170,"44440B1Energia convencional pré-pagamentoResidencialResidencial baixa renda – faixa 02Não se aplicaNão se aplicaNão se aplica",Mercado_Receita!$N$2:$N$170)</f>
        <v>0</v>
      </c>
      <c r="J14" s="12">
        <f>SUMIF(Mercado_Receita!$T$2:$T$170,"44470B1Energia convencional pré-pagamentoResidencialResidencial baixa renda – faixa 02Não se aplicaNão se aplicaNão se aplica",Mercado_Receita!$N$2:$N$170)</f>
        <v>0</v>
      </c>
      <c r="K14" s="12">
        <f>SUMIF(Mercado_Receita!$T$2:$T$170,"44501B1Energia convencional pré-pagamentoResidencialResidencial baixa renda – faixa 02Não se aplicaNão se aplicaNão se aplica",Mercado_Receita!$N$2:$N$170)</f>
        <v>0</v>
      </c>
      <c r="L14" s="12">
        <f>SUMIF(Mercado_Receita!$T$2:$T$170,"44531B1Energia convencional pré-pagamentoResidencialResidencial baixa renda – faixa 02Não se aplicaNão se aplicaNão se aplica",Mercado_Receita!$N$2:$N$170)</f>
        <v>0</v>
      </c>
      <c r="M14" s="12">
        <f>SUMIF(Mercado_Receita!$T$2:$T$170,"44562B1Energia convencional pré-pagamentoResidencialResidencial baixa renda – faixa 02Não se aplicaNão se aplicaNão se aplica",Mercado_Receita!$N$2:$N$170)</f>
        <v>0</v>
      </c>
      <c r="N14" s="12">
        <f>SUMIF(Mercado_Receita!$T$2:$T$170,"44593B1Energia convencional pré-pagamentoResidencialResidencial baixa renda – faixa 02Não se aplicaNão se aplicaNão se aplica",Mercado_Receita!$N$2:$N$170)</f>
        <v>0</v>
      </c>
      <c r="O14" s="12">
        <f>SUMIF(Mercado_Receita!$T$2:$T$170,"44621B1Energia convencional pré-pagamentoResidencialResidencial baixa renda – faixa 02Não se aplicaNão se aplicaNão se aplica",Mercado_Receita!$N$2:$N$170)</f>
        <v>0</v>
      </c>
      <c r="P14" s="12">
        <f>SUMIF(Mercado_Receita!$T$2:$T$170,"44652B1Energia convencional pré-pagamentoResidencialResidencial baixa renda – faixa 02Não se aplicaNão se aplicaNão se aplica",Mercado_Receita!$N$2:$N$170)</f>
        <v>0</v>
      </c>
      <c r="Q14" s="12">
        <f>SUMIF(Mercado_Receita!$T$2:$T$170,"44682B1Energia convencional pré-pagamentoResidencialResidencial baixa renda – faixa 02Não se aplicaNão se aplicaNão se aplica",Mercado_Receita!$N$2:$N$170)</f>
        <v>0</v>
      </c>
      <c r="R14" s="12">
        <f>SUMIF(Mercado_Receita!$T$2:$T$170,"44713B1Energia convencional pré-pagamentoResidencialResidencial baixa renda – faixa 02Não se aplicaNão se aplicaNão se aplica",Mercado_Receita!$N$2:$N$170)</f>
        <v>0</v>
      </c>
      <c r="S14" s="12">
        <f>SUMIF(Mercado_Receita!$T$2:$T$170,"44743B1Energia convencional pré-pagamentoResidencialResidencial baixa renda – faixa 02Não se aplicaNão se aplicaNão se aplica",Mercado_Receita!$N$2:$N$170)</f>
        <v>0</v>
      </c>
      <c r="T14" s="12">
        <f>SUMIF(Mercado_Receita!$T$2:$T$170,"44774B1Energia convencional pré-pagamentoResidencialResidencial baixa renda – faixa 02Não se aplicaNão se aplicaNão se aplica",Mercado_Receita!$N$2:$N$170)</f>
        <v>0</v>
      </c>
      <c r="U14" s="12">
        <f t="shared" si="0"/>
        <v>0</v>
      </c>
      <c r="V14" s="12"/>
      <c r="W14" s="12"/>
    </row>
    <row r="15" spans="1:30" ht="11.25" customHeight="1" x14ac:dyDescent="0.25">
      <c r="A15" s="90"/>
      <c r="B15" s="90"/>
      <c r="C15" s="90"/>
      <c r="D15" s="13" t="s">
        <v>29</v>
      </c>
      <c r="E15" s="13" t="s">
        <v>25</v>
      </c>
      <c r="F15" s="13" t="s">
        <v>25</v>
      </c>
      <c r="G15" s="12" t="s">
        <v>69</v>
      </c>
      <c r="H15" s="12" t="s">
        <v>63</v>
      </c>
      <c r="I15" s="12">
        <f>SUMIF(Mercado_Receita!$T$2:$T$170,"44440B1Energia convencional pré-pagamentoResidencialResidencial baixa renda – faixa 03Não se aplicaNão se aplicaNão se aplica",Mercado_Receita!$N$2:$N$170)</f>
        <v>0</v>
      </c>
      <c r="J15" s="12">
        <f>SUMIF(Mercado_Receita!$T$2:$T$170,"44470B1Energia convencional pré-pagamentoResidencialResidencial baixa renda – faixa 03Não se aplicaNão se aplicaNão se aplica",Mercado_Receita!$N$2:$N$170)</f>
        <v>0</v>
      </c>
      <c r="K15" s="12">
        <f>SUMIF(Mercado_Receita!$T$2:$T$170,"44501B1Energia convencional pré-pagamentoResidencialResidencial baixa renda – faixa 03Não se aplicaNão se aplicaNão se aplica",Mercado_Receita!$N$2:$N$170)</f>
        <v>0</v>
      </c>
      <c r="L15" s="12">
        <f>SUMIF(Mercado_Receita!$T$2:$T$170,"44531B1Energia convencional pré-pagamentoResidencialResidencial baixa renda – faixa 03Não se aplicaNão se aplicaNão se aplica",Mercado_Receita!$N$2:$N$170)</f>
        <v>0</v>
      </c>
      <c r="M15" s="12">
        <f>SUMIF(Mercado_Receita!$T$2:$T$170,"44562B1Energia convencional pré-pagamentoResidencialResidencial baixa renda – faixa 03Não se aplicaNão se aplicaNão se aplica",Mercado_Receita!$N$2:$N$170)</f>
        <v>0</v>
      </c>
      <c r="N15" s="12">
        <f>SUMIF(Mercado_Receita!$T$2:$T$170,"44593B1Energia convencional pré-pagamentoResidencialResidencial baixa renda – faixa 03Não se aplicaNão se aplicaNão se aplica",Mercado_Receita!$N$2:$N$170)</f>
        <v>0</v>
      </c>
      <c r="O15" s="12">
        <f>SUMIF(Mercado_Receita!$T$2:$T$170,"44621B1Energia convencional pré-pagamentoResidencialResidencial baixa renda – faixa 03Não se aplicaNão se aplicaNão se aplica",Mercado_Receita!$N$2:$N$170)</f>
        <v>0</v>
      </c>
      <c r="P15" s="12">
        <f>SUMIF(Mercado_Receita!$T$2:$T$170,"44652B1Energia convencional pré-pagamentoResidencialResidencial baixa renda – faixa 03Não se aplicaNão se aplicaNão se aplica",Mercado_Receita!$N$2:$N$170)</f>
        <v>0</v>
      </c>
      <c r="Q15" s="12">
        <f>SUMIF(Mercado_Receita!$T$2:$T$170,"44682B1Energia convencional pré-pagamentoResidencialResidencial baixa renda – faixa 03Não se aplicaNão se aplicaNão se aplica",Mercado_Receita!$N$2:$N$170)</f>
        <v>0</v>
      </c>
      <c r="R15" s="12">
        <f>SUMIF(Mercado_Receita!$T$2:$T$170,"44713B1Energia convencional pré-pagamentoResidencialResidencial baixa renda – faixa 03Não se aplicaNão se aplicaNão se aplica",Mercado_Receita!$N$2:$N$170)</f>
        <v>0</v>
      </c>
      <c r="S15" s="12">
        <f>SUMIF(Mercado_Receita!$T$2:$T$170,"44743B1Energia convencional pré-pagamentoResidencialResidencial baixa renda – faixa 03Não se aplicaNão se aplicaNão se aplica",Mercado_Receita!$N$2:$N$170)</f>
        <v>0</v>
      </c>
      <c r="T15" s="12">
        <f>SUMIF(Mercado_Receita!$T$2:$T$170,"44774B1Energia convencional pré-pagamentoResidencialResidencial baixa renda – faixa 03Não se aplicaNão se aplicaNão se aplica",Mercado_Receita!$N$2:$N$170)</f>
        <v>0</v>
      </c>
      <c r="U15" s="12">
        <f t="shared" si="0"/>
        <v>0</v>
      </c>
      <c r="V15" s="12"/>
      <c r="W15" s="12"/>
    </row>
    <row r="16" spans="1:30" ht="11.25" customHeight="1" x14ac:dyDescent="0.25">
      <c r="A16" s="90"/>
      <c r="B16" s="90"/>
      <c r="C16" s="90"/>
      <c r="D16" s="13" t="s">
        <v>30</v>
      </c>
      <c r="E16" s="13" t="s">
        <v>25</v>
      </c>
      <c r="F16" s="13" t="s">
        <v>25</v>
      </c>
      <c r="G16" s="12" t="s">
        <v>69</v>
      </c>
      <c r="H16" s="12" t="s">
        <v>63</v>
      </c>
      <c r="I16" s="12">
        <f>SUMIF(Mercado_Receita!$T$2:$T$170,"44440B1Energia convencional pré-pagamentoResidencialResidencial baixa renda – faixa 04Não se aplicaNão se aplicaNão se aplica",Mercado_Receita!$N$2:$N$170)</f>
        <v>0</v>
      </c>
      <c r="J16" s="12">
        <f>SUMIF(Mercado_Receita!$T$2:$T$170,"44470B1Energia convencional pré-pagamentoResidencialResidencial baixa renda – faixa 04Não se aplicaNão se aplicaNão se aplica",Mercado_Receita!$N$2:$N$170)</f>
        <v>0</v>
      </c>
      <c r="K16" s="12">
        <f>SUMIF(Mercado_Receita!$T$2:$T$170,"44501B1Energia convencional pré-pagamentoResidencialResidencial baixa renda – faixa 04Não se aplicaNão se aplicaNão se aplica",Mercado_Receita!$N$2:$N$170)</f>
        <v>0</v>
      </c>
      <c r="L16" s="12">
        <f>SUMIF(Mercado_Receita!$T$2:$T$170,"44531B1Energia convencional pré-pagamentoResidencialResidencial baixa renda – faixa 04Não se aplicaNão se aplicaNão se aplica",Mercado_Receita!$N$2:$N$170)</f>
        <v>0</v>
      </c>
      <c r="M16" s="12">
        <f>SUMIF(Mercado_Receita!$T$2:$T$170,"44562B1Energia convencional pré-pagamentoResidencialResidencial baixa renda – faixa 04Não se aplicaNão se aplicaNão se aplica",Mercado_Receita!$N$2:$N$170)</f>
        <v>0</v>
      </c>
      <c r="N16" s="12">
        <f>SUMIF(Mercado_Receita!$T$2:$T$170,"44593B1Energia convencional pré-pagamentoResidencialResidencial baixa renda – faixa 04Não se aplicaNão se aplicaNão se aplica",Mercado_Receita!$N$2:$N$170)</f>
        <v>0</v>
      </c>
      <c r="O16" s="12">
        <f>SUMIF(Mercado_Receita!$T$2:$T$170,"44621B1Energia convencional pré-pagamentoResidencialResidencial baixa renda – faixa 04Não se aplicaNão se aplicaNão se aplica",Mercado_Receita!$N$2:$N$170)</f>
        <v>0</v>
      </c>
      <c r="P16" s="12">
        <f>SUMIF(Mercado_Receita!$T$2:$T$170,"44652B1Energia convencional pré-pagamentoResidencialResidencial baixa renda – faixa 04Não se aplicaNão se aplicaNão se aplica",Mercado_Receita!$N$2:$N$170)</f>
        <v>0</v>
      </c>
      <c r="Q16" s="12">
        <f>SUMIF(Mercado_Receita!$T$2:$T$170,"44682B1Energia convencional pré-pagamentoResidencialResidencial baixa renda – faixa 04Não se aplicaNão se aplicaNão se aplica",Mercado_Receita!$N$2:$N$170)</f>
        <v>0</v>
      </c>
      <c r="R16" s="12">
        <f>SUMIF(Mercado_Receita!$T$2:$T$170,"44713B1Energia convencional pré-pagamentoResidencialResidencial baixa renda – faixa 04Não se aplicaNão se aplicaNão se aplica",Mercado_Receita!$N$2:$N$170)</f>
        <v>0</v>
      </c>
      <c r="S16" s="12">
        <f>SUMIF(Mercado_Receita!$T$2:$T$170,"44743B1Energia convencional pré-pagamentoResidencialResidencial baixa renda – faixa 04Não se aplicaNão se aplicaNão se aplica",Mercado_Receita!$N$2:$N$170)</f>
        <v>0</v>
      </c>
      <c r="T16" s="12">
        <f>SUMIF(Mercado_Receita!$T$2:$T$170,"44774B1Energia convencional pré-pagamentoResidencialResidencial baixa renda – faixa 04Não se aplicaNão se aplicaNão se aplica",Mercado_Receita!$N$2:$N$170)</f>
        <v>0</v>
      </c>
      <c r="U16" s="12">
        <f t="shared" si="0"/>
        <v>0</v>
      </c>
      <c r="V16" s="12"/>
      <c r="W16" s="12"/>
    </row>
    <row r="17" spans="1:23" ht="11.25" customHeight="1" x14ac:dyDescent="0.25">
      <c r="A17" s="89" t="s">
        <v>39</v>
      </c>
      <c r="B17" s="89" t="s">
        <v>62</v>
      </c>
      <c r="C17" s="89" t="s">
        <v>40</v>
      </c>
      <c r="D17" s="89" t="s">
        <v>25</v>
      </c>
      <c r="E17" s="89" t="s">
        <v>25</v>
      </c>
      <c r="F17" s="89" t="s">
        <v>25</v>
      </c>
      <c r="G17" s="12" t="s">
        <v>64</v>
      </c>
      <c r="H17" s="12" t="s">
        <v>63</v>
      </c>
      <c r="I17" s="12">
        <f>SUMIF(Mercado_Receita!$T$2:$T$170,"44440B2Energia horáriaRuralNão se aplicaNão se aplicaNão se aplicaPonta",Mercado_Receita!$N$2:$N$170)</f>
        <v>0</v>
      </c>
      <c r="J17" s="12">
        <f>SUMIF(Mercado_Receita!$T$2:$T$170,"44470B2Energia horáriaRuralNão se aplicaNão se aplicaNão se aplicaPonta",Mercado_Receita!$N$2:$N$170)</f>
        <v>0</v>
      </c>
      <c r="K17" s="12">
        <f>SUMIF(Mercado_Receita!$T$2:$T$170,"44501B2Energia horáriaRuralNão se aplicaNão se aplicaNão se aplicaPonta",Mercado_Receita!$N$2:$N$170)</f>
        <v>0</v>
      </c>
      <c r="L17" s="12">
        <f>SUMIF(Mercado_Receita!$T$2:$T$170,"44531B2Energia horáriaRuralNão se aplicaNão se aplicaNão se aplicaPonta",Mercado_Receita!$N$2:$N$170)</f>
        <v>0</v>
      </c>
      <c r="M17" s="12">
        <f>SUMIF(Mercado_Receita!$T$2:$T$170,"44562B2Energia horáriaRuralNão se aplicaNão se aplicaNão se aplicaPonta",Mercado_Receita!$N$2:$N$170)</f>
        <v>0</v>
      </c>
      <c r="N17" s="12">
        <f>SUMIF(Mercado_Receita!$T$2:$T$170,"44593B2Energia horáriaRuralNão se aplicaNão se aplicaNão se aplicaPonta",Mercado_Receita!$N$2:$N$170)</f>
        <v>0</v>
      </c>
      <c r="O17" s="12">
        <f>SUMIF(Mercado_Receita!$T$2:$T$170,"44621B2Energia horáriaRuralNão se aplicaNão se aplicaNão se aplicaPonta",Mercado_Receita!$N$2:$N$170)</f>
        <v>0</v>
      </c>
      <c r="P17" s="12">
        <f>SUMIF(Mercado_Receita!$T$2:$T$170,"44652B2Energia horáriaRuralNão se aplicaNão se aplicaNão se aplicaPonta",Mercado_Receita!$N$2:$N$170)</f>
        <v>0</v>
      </c>
      <c r="Q17" s="12">
        <f>SUMIF(Mercado_Receita!$T$2:$T$170,"44682B2Energia horáriaRuralNão se aplicaNão se aplicaNão se aplicaPonta",Mercado_Receita!$N$2:$N$170)</f>
        <v>0</v>
      </c>
      <c r="R17" s="12">
        <f>SUMIF(Mercado_Receita!$T$2:$T$170,"44713B2Energia horáriaRuralNão se aplicaNão se aplicaNão se aplicaPonta",Mercado_Receita!$N$2:$N$170)</f>
        <v>0</v>
      </c>
      <c r="S17" s="12">
        <f>SUMIF(Mercado_Receita!$T$2:$T$170,"44743B2Energia horáriaRuralNão se aplicaNão se aplicaNão se aplicaPonta",Mercado_Receita!$N$2:$N$170)</f>
        <v>0</v>
      </c>
      <c r="T17" s="12">
        <f>SUMIF(Mercado_Receita!$T$2:$T$170,"44774B2Energia horáriaRuralNão se aplicaNão se aplicaNão se aplicaPonta",Mercado_Receita!$N$2:$N$170)</f>
        <v>0</v>
      </c>
      <c r="U17" s="12">
        <f t="shared" si="0"/>
        <v>0</v>
      </c>
      <c r="V17" s="12"/>
      <c r="W17" s="12"/>
    </row>
    <row r="18" spans="1:23" ht="11.25" customHeight="1" x14ac:dyDescent="0.25">
      <c r="A18" s="90"/>
      <c r="B18" s="90"/>
      <c r="C18" s="90"/>
      <c r="D18" s="90"/>
      <c r="E18" s="90"/>
      <c r="F18" s="90"/>
      <c r="G18" s="12" t="s">
        <v>75</v>
      </c>
      <c r="H18" s="12" t="s">
        <v>63</v>
      </c>
      <c r="I18" s="12">
        <f>SUMIF(Mercado_Receita!$T$2:$T$170,"44440B2Energia horáriaRuralNão se aplicaNão se aplicaNão se aplicaIntermediário",Mercado_Receita!$N$2:$N$170)</f>
        <v>0</v>
      </c>
      <c r="J18" s="12">
        <f>SUMIF(Mercado_Receita!$T$2:$T$170,"44470B2Energia horáriaRuralNão se aplicaNão se aplicaNão se aplicaIntermediário",Mercado_Receita!$N$2:$N$170)</f>
        <v>0</v>
      </c>
      <c r="K18" s="12">
        <f>SUMIF(Mercado_Receita!$T$2:$T$170,"44501B2Energia horáriaRuralNão se aplicaNão se aplicaNão se aplicaIntermediário",Mercado_Receita!$N$2:$N$170)</f>
        <v>0</v>
      </c>
      <c r="L18" s="12">
        <f>SUMIF(Mercado_Receita!$T$2:$T$170,"44531B2Energia horáriaRuralNão se aplicaNão se aplicaNão se aplicaIntermediário",Mercado_Receita!$N$2:$N$170)</f>
        <v>0</v>
      </c>
      <c r="M18" s="12">
        <f>SUMIF(Mercado_Receita!$T$2:$T$170,"44562B2Energia horáriaRuralNão se aplicaNão se aplicaNão se aplicaIntermediário",Mercado_Receita!$N$2:$N$170)</f>
        <v>0</v>
      </c>
      <c r="N18" s="12">
        <f>SUMIF(Mercado_Receita!$T$2:$T$170,"44593B2Energia horáriaRuralNão se aplicaNão se aplicaNão se aplicaIntermediário",Mercado_Receita!$N$2:$N$170)</f>
        <v>0</v>
      </c>
      <c r="O18" s="12">
        <f>SUMIF(Mercado_Receita!$T$2:$T$170,"44621B2Energia horáriaRuralNão se aplicaNão se aplicaNão se aplicaIntermediário",Mercado_Receita!$N$2:$N$170)</f>
        <v>0</v>
      </c>
      <c r="P18" s="12">
        <f>SUMIF(Mercado_Receita!$T$2:$T$170,"44652B2Energia horáriaRuralNão se aplicaNão se aplicaNão se aplicaIntermediário",Mercado_Receita!$N$2:$N$170)</f>
        <v>0</v>
      </c>
      <c r="Q18" s="12">
        <f>SUMIF(Mercado_Receita!$T$2:$T$170,"44682B2Energia horáriaRuralNão se aplicaNão se aplicaNão se aplicaIntermediário",Mercado_Receita!$N$2:$N$170)</f>
        <v>0</v>
      </c>
      <c r="R18" s="12">
        <f>SUMIF(Mercado_Receita!$T$2:$T$170,"44713B2Energia horáriaRuralNão se aplicaNão se aplicaNão se aplicaIntermediário",Mercado_Receita!$N$2:$N$170)</f>
        <v>0</v>
      </c>
      <c r="S18" s="12">
        <f>SUMIF(Mercado_Receita!$T$2:$T$170,"44743B2Energia horáriaRuralNão se aplicaNão se aplicaNão se aplicaIntermediário",Mercado_Receita!$N$2:$N$170)</f>
        <v>0</v>
      </c>
      <c r="T18" s="12">
        <f>SUMIF(Mercado_Receita!$T$2:$T$170,"44774B2Energia horáriaRuralNão se aplicaNão se aplicaNão se aplicaIntermediário",Mercado_Receita!$N$2:$N$170)</f>
        <v>0</v>
      </c>
      <c r="U18" s="12">
        <f t="shared" si="0"/>
        <v>0</v>
      </c>
      <c r="V18" s="12"/>
      <c r="W18" s="12"/>
    </row>
    <row r="19" spans="1:23" ht="11.25" customHeight="1" x14ac:dyDescent="0.25">
      <c r="A19" s="90"/>
      <c r="B19" s="90"/>
      <c r="C19" s="90"/>
      <c r="D19" s="90"/>
      <c r="E19" s="90"/>
      <c r="F19" s="90"/>
      <c r="G19" s="12" t="s">
        <v>65</v>
      </c>
      <c r="H19" s="12" t="s">
        <v>63</v>
      </c>
      <c r="I19" s="12">
        <f>SUMIF(Mercado_Receita!$T$2:$T$170,"44440B2Energia horáriaRuralNão se aplicaNão se aplicaNão se aplicaFora ponta",Mercado_Receita!$N$2:$N$170)</f>
        <v>0</v>
      </c>
      <c r="J19" s="12">
        <f>SUMIF(Mercado_Receita!$T$2:$T$170,"44470B2Energia horáriaRuralNão se aplicaNão se aplicaNão se aplicaFora ponta",Mercado_Receita!$N$2:$N$170)</f>
        <v>0</v>
      </c>
      <c r="K19" s="12">
        <f>SUMIF(Mercado_Receita!$T$2:$T$170,"44501B2Energia horáriaRuralNão se aplicaNão se aplicaNão se aplicaFora ponta",Mercado_Receita!$N$2:$N$170)</f>
        <v>0</v>
      </c>
      <c r="L19" s="12">
        <f>SUMIF(Mercado_Receita!$T$2:$T$170,"44531B2Energia horáriaRuralNão se aplicaNão se aplicaNão se aplicaFora ponta",Mercado_Receita!$N$2:$N$170)</f>
        <v>0</v>
      </c>
      <c r="M19" s="12">
        <f>SUMIF(Mercado_Receita!$T$2:$T$170,"44562B2Energia horáriaRuralNão se aplicaNão se aplicaNão se aplicaFora ponta",Mercado_Receita!$N$2:$N$170)</f>
        <v>0</v>
      </c>
      <c r="N19" s="12">
        <f>SUMIF(Mercado_Receita!$T$2:$T$170,"44593B2Energia horáriaRuralNão se aplicaNão se aplicaNão se aplicaFora ponta",Mercado_Receita!$N$2:$N$170)</f>
        <v>0</v>
      </c>
      <c r="O19" s="12">
        <f>SUMIF(Mercado_Receita!$T$2:$T$170,"44621B2Energia horáriaRuralNão se aplicaNão se aplicaNão se aplicaFora ponta",Mercado_Receita!$N$2:$N$170)</f>
        <v>0</v>
      </c>
      <c r="P19" s="12">
        <f>SUMIF(Mercado_Receita!$T$2:$T$170,"44652B2Energia horáriaRuralNão se aplicaNão se aplicaNão se aplicaFora ponta",Mercado_Receita!$N$2:$N$170)</f>
        <v>0</v>
      </c>
      <c r="Q19" s="12">
        <f>SUMIF(Mercado_Receita!$T$2:$T$170,"44682B2Energia horáriaRuralNão se aplicaNão se aplicaNão se aplicaFora ponta",Mercado_Receita!$N$2:$N$170)</f>
        <v>0</v>
      </c>
      <c r="R19" s="12">
        <f>SUMIF(Mercado_Receita!$T$2:$T$170,"44713B2Energia horáriaRuralNão se aplicaNão se aplicaNão se aplicaFora ponta",Mercado_Receita!$N$2:$N$170)</f>
        <v>0</v>
      </c>
      <c r="S19" s="12">
        <f>SUMIF(Mercado_Receita!$T$2:$T$170,"44743B2Energia horáriaRuralNão se aplicaNão se aplicaNão se aplicaFora ponta",Mercado_Receita!$N$2:$N$170)</f>
        <v>0</v>
      </c>
      <c r="T19" s="12">
        <f>SUMIF(Mercado_Receita!$T$2:$T$170,"44774B2Energia horáriaRuralNão se aplicaNão se aplicaNão se aplicaFora ponta",Mercado_Receita!$N$2:$N$170)</f>
        <v>0</v>
      </c>
      <c r="U19" s="12">
        <f t="shared" si="0"/>
        <v>0</v>
      </c>
      <c r="V19" s="12"/>
      <c r="W19" s="12"/>
    </row>
    <row r="20" spans="1:23" ht="11.25" customHeight="1" x14ac:dyDescent="0.25">
      <c r="A20" s="90"/>
      <c r="B20" s="13" t="s">
        <v>76</v>
      </c>
      <c r="C20" s="13" t="s">
        <v>40</v>
      </c>
      <c r="D20" s="13" t="s">
        <v>25</v>
      </c>
      <c r="E20" s="13" t="s">
        <v>25</v>
      </c>
      <c r="F20" s="13" t="s">
        <v>25</v>
      </c>
      <c r="G20" s="12" t="s">
        <v>69</v>
      </c>
      <c r="H20" s="12" t="s">
        <v>63</v>
      </c>
      <c r="I20" s="12">
        <f>SUMIF(Mercado_Receita!$T$2:$T$170,"44440B2Energia convencionalRuralNão se aplicaNão se aplicaNão se aplicaNão se aplica",Mercado_Receita!$N$2:$N$170)</f>
        <v>54.149000000000001</v>
      </c>
      <c r="J20" s="12">
        <f>SUMIF(Mercado_Receita!$T$2:$T$170,"44470B2Energia convencionalRuralNão se aplicaNão se aplicaNão se aplicaNão se aplica",Mercado_Receita!$N$2:$N$170)</f>
        <v>53.856999999999999</v>
      </c>
      <c r="K20" s="12">
        <f>SUMIF(Mercado_Receita!$T$2:$T$170,"44501B2Energia convencionalRuralNão se aplicaNão se aplicaNão se aplicaNão se aplica",Mercado_Receita!$N$2:$N$170)</f>
        <v>54.054000000000002</v>
      </c>
      <c r="L20" s="12">
        <f>SUMIF(Mercado_Receita!$T$2:$T$170,"44531B2Energia convencionalRuralNão se aplicaNão se aplicaNão se aplicaNão se aplica",Mercado_Receita!$N$2:$N$170)</f>
        <v>55.401000000000003</v>
      </c>
      <c r="M20" s="12">
        <f>SUMIF(Mercado_Receita!$T$2:$T$170,"44562B2Energia convencionalRuralNão se aplicaNão se aplicaNão se aplicaNão se aplica",Mercado_Receita!$N$2:$N$170)</f>
        <v>61.930999999999997</v>
      </c>
      <c r="N20" s="12">
        <f>SUMIF(Mercado_Receita!$T$2:$T$170,"44593B2Energia convencionalRuralNão se aplicaNão se aplicaNão se aplicaNão se aplica",Mercado_Receita!$N$2:$N$170)</f>
        <v>61.552</v>
      </c>
      <c r="O20" s="12">
        <f>SUMIF(Mercado_Receita!$T$2:$T$170,"44621B2Energia convencionalRuralNão se aplicaNão se aplicaNão se aplicaNão se aplica",Mercado_Receita!$N$2:$N$170)</f>
        <v>56.143999999999998</v>
      </c>
      <c r="P20" s="12">
        <f>SUMIF(Mercado_Receita!$T$2:$T$170,"44652B2Energia convencionalRuralNão se aplicaNão se aplicaNão se aplicaNão se aplica",Mercado_Receita!$N$2:$N$170)</f>
        <v>58.720999999999997</v>
      </c>
      <c r="Q20" s="12">
        <f>SUMIF(Mercado_Receita!$T$2:$T$170,"44682B2Energia convencionalRuralNão se aplicaNão se aplicaNão se aplicaNão se aplica",Mercado_Receita!$N$2:$N$170)</f>
        <v>51.926000000000002</v>
      </c>
      <c r="R20" s="12">
        <f>SUMIF(Mercado_Receita!$T$2:$T$170,"44713B2Energia convencionalRuralNão se aplicaNão se aplicaNão se aplicaNão se aplica",Mercado_Receita!$N$2:$N$170)</f>
        <v>54.735999999999997</v>
      </c>
      <c r="S20" s="12">
        <f>SUMIF(Mercado_Receita!$T$2:$T$170,"44743B2Energia convencionalRuralNão se aplicaNão se aplicaNão se aplicaNão se aplica",Mercado_Receita!$N$2:$N$170)</f>
        <v>53.656999999999996</v>
      </c>
      <c r="T20" s="12">
        <f>SUMIF(Mercado_Receita!$T$2:$T$170,"44774B2Energia convencionalRuralNão se aplicaNão se aplicaNão se aplicaNão se aplica",Mercado_Receita!$N$2:$N$170)</f>
        <v>52.451999999999998</v>
      </c>
      <c r="U20" s="12">
        <f t="shared" si="0"/>
        <v>668.58</v>
      </c>
      <c r="V20" s="12"/>
      <c r="W20" s="12"/>
    </row>
    <row r="21" spans="1:23" ht="11.25" customHeight="1" x14ac:dyDescent="0.25">
      <c r="A21" s="90"/>
      <c r="B21" s="89" t="s">
        <v>62</v>
      </c>
      <c r="C21" s="89" t="s">
        <v>40</v>
      </c>
      <c r="D21" s="89" t="s">
        <v>80</v>
      </c>
      <c r="E21" s="89" t="s">
        <v>25</v>
      </c>
      <c r="F21" s="89" t="s">
        <v>25</v>
      </c>
      <c r="G21" s="12" t="s">
        <v>64</v>
      </c>
      <c r="H21" s="12" t="s">
        <v>63</v>
      </c>
      <c r="I21" s="12">
        <f>SUMIF(Mercado_Receita!$T$2:$T$170,"44440B2Energia horáriaRuralCooperativa de eletrificação ruralNão se aplicaNão se aplicaPonta",Mercado_Receita!$N$2:$N$170)</f>
        <v>0</v>
      </c>
      <c r="J21" s="12">
        <f>SUMIF(Mercado_Receita!$T$2:$T$170,"44470B2Energia horáriaRuralCooperativa de eletrificação ruralNão se aplicaNão se aplicaPonta",Mercado_Receita!$N$2:$N$170)</f>
        <v>0</v>
      </c>
      <c r="K21" s="12">
        <f>SUMIF(Mercado_Receita!$T$2:$T$170,"44501B2Energia horáriaRuralCooperativa de eletrificação ruralNão se aplicaNão se aplicaPonta",Mercado_Receita!$N$2:$N$170)</f>
        <v>0</v>
      </c>
      <c r="L21" s="12">
        <f>SUMIF(Mercado_Receita!$T$2:$T$170,"44531B2Energia horáriaRuralCooperativa de eletrificação ruralNão se aplicaNão se aplicaPonta",Mercado_Receita!$N$2:$N$170)</f>
        <v>0</v>
      </c>
      <c r="M21" s="12">
        <f>SUMIF(Mercado_Receita!$T$2:$T$170,"44562B2Energia horáriaRuralCooperativa de eletrificação ruralNão se aplicaNão se aplicaPonta",Mercado_Receita!$N$2:$N$170)</f>
        <v>0</v>
      </c>
      <c r="N21" s="12">
        <f>SUMIF(Mercado_Receita!$T$2:$T$170,"44593B2Energia horáriaRuralCooperativa de eletrificação ruralNão se aplicaNão se aplicaPonta",Mercado_Receita!$N$2:$N$170)</f>
        <v>0</v>
      </c>
      <c r="O21" s="12">
        <f>SUMIF(Mercado_Receita!$T$2:$T$170,"44621B2Energia horáriaRuralCooperativa de eletrificação ruralNão se aplicaNão se aplicaPonta",Mercado_Receita!$N$2:$N$170)</f>
        <v>0</v>
      </c>
      <c r="P21" s="12">
        <f>SUMIF(Mercado_Receita!$T$2:$T$170,"44652B2Energia horáriaRuralCooperativa de eletrificação ruralNão se aplicaNão se aplicaPonta",Mercado_Receita!$N$2:$N$170)</f>
        <v>0</v>
      </c>
      <c r="Q21" s="12">
        <f>SUMIF(Mercado_Receita!$T$2:$T$170,"44682B2Energia horáriaRuralCooperativa de eletrificação ruralNão se aplicaNão se aplicaPonta",Mercado_Receita!$N$2:$N$170)</f>
        <v>0</v>
      </c>
      <c r="R21" s="12">
        <f>SUMIF(Mercado_Receita!$T$2:$T$170,"44713B2Energia horáriaRuralCooperativa de eletrificação ruralNão se aplicaNão se aplicaPonta",Mercado_Receita!$N$2:$N$170)</f>
        <v>0</v>
      </c>
      <c r="S21" s="12">
        <f>SUMIF(Mercado_Receita!$T$2:$T$170,"44743B2Energia horáriaRuralCooperativa de eletrificação ruralNão se aplicaNão se aplicaPonta",Mercado_Receita!$N$2:$N$170)</f>
        <v>0</v>
      </c>
      <c r="T21" s="12">
        <f>SUMIF(Mercado_Receita!$T$2:$T$170,"44774B2Energia horáriaRuralCooperativa de eletrificação ruralNão se aplicaNão se aplicaPonta",Mercado_Receita!$N$2:$N$170)</f>
        <v>0</v>
      </c>
      <c r="U21" s="12">
        <f t="shared" si="0"/>
        <v>0</v>
      </c>
      <c r="V21" s="12"/>
      <c r="W21" s="12"/>
    </row>
    <row r="22" spans="1:23" ht="11.25" customHeight="1" x14ac:dyDescent="0.25">
      <c r="A22" s="90"/>
      <c r="B22" s="90"/>
      <c r="C22" s="90"/>
      <c r="D22" s="90"/>
      <c r="E22" s="90"/>
      <c r="F22" s="90"/>
      <c r="G22" s="12" t="s">
        <v>75</v>
      </c>
      <c r="H22" s="12" t="s">
        <v>63</v>
      </c>
      <c r="I22" s="12">
        <f>SUMIF(Mercado_Receita!$T$2:$T$170,"44440B2Energia horáriaRuralCooperativa de eletrificação ruralNão se aplicaNão se aplicaIntermediário",Mercado_Receita!$N$2:$N$170)</f>
        <v>0</v>
      </c>
      <c r="J22" s="12">
        <f>SUMIF(Mercado_Receita!$T$2:$T$170,"44470B2Energia horáriaRuralCooperativa de eletrificação ruralNão se aplicaNão se aplicaIntermediário",Mercado_Receita!$N$2:$N$170)</f>
        <v>0</v>
      </c>
      <c r="K22" s="12">
        <f>SUMIF(Mercado_Receita!$T$2:$T$170,"44501B2Energia horáriaRuralCooperativa de eletrificação ruralNão se aplicaNão se aplicaIntermediário",Mercado_Receita!$N$2:$N$170)</f>
        <v>0</v>
      </c>
      <c r="L22" s="12">
        <f>SUMIF(Mercado_Receita!$T$2:$T$170,"44531B2Energia horáriaRuralCooperativa de eletrificação ruralNão se aplicaNão se aplicaIntermediário",Mercado_Receita!$N$2:$N$170)</f>
        <v>0</v>
      </c>
      <c r="M22" s="12">
        <f>SUMIF(Mercado_Receita!$T$2:$T$170,"44562B2Energia horáriaRuralCooperativa de eletrificação ruralNão se aplicaNão se aplicaIntermediário",Mercado_Receita!$N$2:$N$170)</f>
        <v>0</v>
      </c>
      <c r="N22" s="12">
        <f>SUMIF(Mercado_Receita!$T$2:$T$170,"44593B2Energia horáriaRuralCooperativa de eletrificação ruralNão se aplicaNão se aplicaIntermediário",Mercado_Receita!$N$2:$N$170)</f>
        <v>0</v>
      </c>
      <c r="O22" s="12">
        <f>SUMIF(Mercado_Receita!$T$2:$T$170,"44621B2Energia horáriaRuralCooperativa de eletrificação ruralNão se aplicaNão se aplicaIntermediário",Mercado_Receita!$N$2:$N$170)</f>
        <v>0</v>
      </c>
      <c r="P22" s="12">
        <f>SUMIF(Mercado_Receita!$T$2:$T$170,"44652B2Energia horáriaRuralCooperativa de eletrificação ruralNão se aplicaNão se aplicaIntermediário",Mercado_Receita!$N$2:$N$170)</f>
        <v>0</v>
      </c>
      <c r="Q22" s="12">
        <f>SUMIF(Mercado_Receita!$T$2:$T$170,"44682B2Energia horáriaRuralCooperativa de eletrificação ruralNão se aplicaNão se aplicaIntermediário",Mercado_Receita!$N$2:$N$170)</f>
        <v>0</v>
      </c>
      <c r="R22" s="12">
        <f>SUMIF(Mercado_Receita!$T$2:$T$170,"44713B2Energia horáriaRuralCooperativa de eletrificação ruralNão se aplicaNão se aplicaIntermediário",Mercado_Receita!$N$2:$N$170)</f>
        <v>0</v>
      </c>
      <c r="S22" s="12">
        <f>SUMIF(Mercado_Receita!$T$2:$T$170,"44743B2Energia horáriaRuralCooperativa de eletrificação ruralNão se aplicaNão se aplicaIntermediário",Mercado_Receita!$N$2:$N$170)</f>
        <v>0</v>
      </c>
      <c r="T22" s="12">
        <f>SUMIF(Mercado_Receita!$T$2:$T$170,"44774B2Energia horáriaRuralCooperativa de eletrificação ruralNão se aplicaNão se aplicaIntermediário",Mercado_Receita!$N$2:$N$170)</f>
        <v>0</v>
      </c>
      <c r="U22" s="12">
        <f t="shared" si="0"/>
        <v>0</v>
      </c>
      <c r="V22" s="12"/>
      <c r="W22" s="12"/>
    </row>
    <row r="23" spans="1:23" ht="11.25" customHeight="1" x14ac:dyDescent="0.25">
      <c r="A23" s="90"/>
      <c r="B23" s="90"/>
      <c r="C23" s="90"/>
      <c r="D23" s="90"/>
      <c r="E23" s="90"/>
      <c r="F23" s="90"/>
      <c r="G23" s="12" t="s">
        <v>65</v>
      </c>
      <c r="H23" s="12" t="s">
        <v>63</v>
      </c>
      <c r="I23" s="12">
        <f>SUMIF(Mercado_Receita!$T$2:$T$170,"44440B2Energia horáriaRuralCooperativa de eletrificação ruralNão se aplicaNão se aplicaFora ponta",Mercado_Receita!$N$2:$N$170)</f>
        <v>0</v>
      </c>
      <c r="J23" s="12">
        <f>SUMIF(Mercado_Receita!$T$2:$T$170,"44470B2Energia horáriaRuralCooperativa de eletrificação ruralNão se aplicaNão se aplicaFora ponta",Mercado_Receita!$N$2:$N$170)</f>
        <v>0</v>
      </c>
      <c r="K23" s="12">
        <f>SUMIF(Mercado_Receita!$T$2:$T$170,"44501B2Energia horáriaRuralCooperativa de eletrificação ruralNão se aplicaNão se aplicaFora ponta",Mercado_Receita!$N$2:$N$170)</f>
        <v>0</v>
      </c>
      <c r="L23" s="12">
        <f>SUMIF(Mercado_Receita!$T$2:$T$170,"44531B2Energia horáriaRuralCooperativa de eletrificação ruralNão se aplicaNão se aplicaFora ponta",Mercado_Receita!$N$2:$N$170)</f>
        <v>0</v>
      </c>
      <c r="M23" s="12">
        <f>SUMIF(Mercado_Receita!$T$2:$T$170,"44562B2Energia horáriaRuralCooperativa de eletrificação ruralNão se aplicaNão se aplicaFora ponta",Mercado_Receita!$N$2:$N$170)</f>
        <v>0</v>
      </c>
      <c r="N23" s="12">
        <f>SUMIF(Mercado_Receita!$T$2:$T$170,"44593B2Energia horáriaRuralCooperativa de eletrificação ruralNão se aplicaNão se aplicaFora ponta",Mercado_Receita!$N$2:$N$170)</f>
        <v>0</v>
      </c>
      <c r="O23" s="12">
        <f>SUMIF(Mercado_Receita!$T$2:$T$170,"44621B2Energia horáriaRuralCooperativa de eletrificação ruralNão se aplicaNão se aplicaFora ponta",Mercado_Receita!$N$2:$N$170)</f>
        <v>0</v>
      </c>
      <c r="P23" s="12">
        <f>SUMIF(Mercado_Receita!$T$2:$T$170,"44652B2Energia horáriaRuralCooperativa de eletrificação ruralNão se aplicaNão se aplicaFora ponta",Mercado_Receita!$N$2:$N$170)</f>
        <v>0</v>
      </c>
      <c r="Q23" s="12">
        <f>SUMIF(Mercado_Receita!$T$2:$T$170,"44682B2Energia horáriaRuralCooperativa de eletrificação ruralNão se aplicaNão se aplicaFora ponta",Mercado_Receita!$N$2:$N$170)</f>
        <v>0</v>
      </c>
      <c r="R23" s="12">
        <f>SUMIF(Mercado_Receita!$T$2:$T$170,"44713B2Energia horáriaRuralCooperativa de eletrificação ruralNão se aplicaNão se aplicaFora ponta",Mercado_Receita!$N$2:$N$170)</f>
        <v>0</v>
      </c>
      <c r="S23" s="12">
        <f>SUMIF(Mercado_Receita!$T$2:$T$170,"44743B2Energia horáriaRuralCooperativa de eletrificação ruralNão se aplicaNão se aplicaFora ponta",Mercado_Receita!$N$2:$N$170)</f>
        <v>0</v>
      </c>
      <c r="T23" s="12">
        <f>SUMIF(Mercado_Receita!$T$2:$T$170,"44774B2Energia horáriaRuralCooperativa de eletrificação ruralNão se aplicaNão se aplicaFora ponta",Mercado_Receita!$N$2:$N$170)</f>
        <v>0</v>
      </c>
      <c r="U23" s="12">
        <f t="shared" si="0"/>
        <v>0</v>
      </c>
      <c r="V23" s="12"/>
      <c r="W23" s="12"/>
    </row>
    <row r="24" spans="1:23" ht="11.25" customHeight="1" x14ac:dyDescent="0.25">
      <c r="A24" s="90"/>
      <c r="B24" s="13" t="s">
        <v>76</v>
      </c>
      <c r="C24" s="13" t="s">
        <v>40</v>
      </c>
      <c r="D24" s="13" t="s">
        <v>80</v>
      </c>
      <c r="E24" s="13" t="s">
        <v>25</v>
      </c>
      <c r="F24" s="13" t="s">
        <v>25</v>
      </c>
      <c r="G24" s="12" t="s">
        <v>69</v>
      </c>
      <c r="H24" s="12" t="s">
        <v>63</v>
      </c>
      <c r="I24" s="12">
        <f>SUMIF(Mercado_Receita!$T$2:$T$170,"44440B2Energia convencionalRuralCooperativa de eletrificação ruralNão se aplicaNão se aplicaNão se aplica",Mercado_Receita!$N$2:$N$170)</f>
        <v>0</v>
      </c>
      <c r="J24" s="12">
        <f>SUMIF(Mercado_Receita!$T$2:$T$170,"44470B2Energia convencionalRuralCooperativa de eletrificação ruralNão se aplicaNão se aplicaNão se aplica",Mercado_Receita!$N$2:$N$170)</f>
        <v>0</v>
      </c>
      <c r="K24" s="12">
        <f>SUMIF(Mercado_Receita!$T$2:$T$170,"44501B2Energia convencionalRuralCooperativa de eletrificação ruralNão se aplicaNão se aplicaNão se aplica",Mercado_Receita!$N$2:$N$170)</f>
        <v>0</v>
      </c>
      <c r="L24" s="12">
        <f>SUMIF(Mercado_Receita!$T$2:$T$170,"44531B2Energia convencionalRuralCooperativa de eletrificação ruralNão se aplicaNão se aplicaNão se aplica",Mercado_Receita!$N$2:$N$170)</f>
        <v>0</v>
      </c>
      <c r="M24" s="12">
        <f>SUMIF(Mercado_Receita!$T$2:$T$170,"44562B2Energia convencionalRuralCooperativa de eletrificação ruralNão se aplicaNão se aplicaNão se aplica",Mercado_Receita!$N$2:$N$170)</f>
        <v>0</v>
      </c>
      <c r="N24" s="12">
        <f>SUMIF(Mercado_Receita!$T$2:$T$170,"44593B2Energia convencionalRuralCooperativa de eletrificação ruralNão se aplicaNão se aplicaNão se aplica",Mercado_Receita!$N$2:$N$170)</f>
        <v>0</v>
      </c>
      <c r="O24" s="12">
        <f>SUMIF(Mercado_Receita!$T$2:$T$170,"44621B2Energia convencionalRuralCooperativa de eletrificação ruralNão se aplicaNão se aplicaNão se aplica",Mercado_Receita!$N$2:$N$170)</f>
        <v>0</v>
      </c>
      <c r="P24" s="12">
        <f>SUMIF(Mercado_Receita!$T$2:$T$170,"44652B2Energia convencionalRuralCooperativa de eletrificação ruralNão se aplicaNão se aplicaNão se aplica",Mercado_Receita!$N$2:$N$170)</f>
        <v>0</v>
      </c>
      <c r="Q24" s="12">
        <f>SUMIF(Mercado_Receita!$T$2:$T$170,"44682B2Energia convencionalRuralCooperativa de eletrificação ruralNão se aplicaNão se aplicaNão se aplica",Mercado_Receita!$N$2:$N$170)</f>
        <v>0</v>
      </c>
      <c r="R24" s="12">
        <f>SUMIF(Mercado_Receita!$T$2:$T$170,"44713B2Energia convencionalRuralCooperativa de eletrificação ruralNão se aplicaNão se aplicaNão se aplica",Mercado_Receita!$N$2:$N$170)</f>
        <v>0</v>
      </c>
      <c r="S24" s="12">
        <f>SUMIF(Mercado_Receita!$T$2:$T$170,"44743B2Energia convencionalRuralCooperativa de eletrificação ruralNão se aplicaNão se aplicaNão se aplica",Mercado_Receita!$N$2:$N$170)</f>
        <v>0</v>
      </c>
      <c r="T24" s="12">
        <f>SUMIF(Mercado_Receita!$T$2:$T$170,"44774B2Energia convencionalRuralCooperativa de eletrificação ruralNão se aplicaNão se aplicaNão se aplica",Mercado_Receita!$N$2:$N$170)</f>
        <v>0</v>
      </c>
      <c r="U24" s="12">
        <f t="shared" si="0"/>
        <v>0</v>
      </c>
      <c r="V24" s="12"/>
      <c r="W24" s="12"/>
    </row>
    <row r="25" spans="1:23" ht="11.25" customHeight="1" x14ac:dyDescent="0.25">
      <c r="A25" s="90"/>
      <c r="B25" s="89" t="s">
        <v>62</v>
      </c>
      <c r="C25" s="89" t="s">
        <v>40</v>
      </c>
      <c r="D25" s="89" t="s">
        <v>81</v>
      </c>
      <c r="E25" s="89" t="s">
        <v>25</v>
      </c>
      <c r="F25" s="89" t="s">
        <v>25</v>
      </c>
      <c r="G25" s="12" t="s">
        <v>64</v>
      </c>
      <c r="H25" s="12" t="s">
        <v>63</v>
      </c>
      <c r="I25" s="12">
        <f>SUMIF(Mercado_Receita!$T$2:$T$170,"44440B2Energia horáriaRuralServiço público de irrigação ruralNão se aplicaNão se aplicaPonta",Mercado_Receita!$N$2:$N$170)</f>
        <v>0</v>
      </c>
      <c r="J25" s="12">
        <f>SUMIF(Mercado_Receita!$T$2:$T$170,"44470B2Energia horáriaRuralServiço público de irrigação ruralNão se aplicaNão se aplicaPonta",Mercado_Receita!$N$2:$N$170)</f>
        <v>0</v>
      </c>
      <c r="K25" s="12">
        <f>SUMIF(Mercado_Receita!$T$2:$T$170,"44501B2Energia horáriaRuralServiço público de irrigação ruralNão se aplicaNão se aplicaPonta",Mercado_Receita!$N$2:$N$170)</f>
        <v>0</v>
      </c>
      <c r="L25" s="12">
        <f>SUMIF(Mercado_Receita!$T$2:$T$170,"44531B2Energia horáriaRuralServiço público de irrigação ruralNão se aplicaNão se aplicaPonta",Mercado_Receita!$N$2:$N$170)</f>
        <v>0</v>
      </c>
      <c r="M25" s="12">
        <f>SUMIF(Mercado_Receita!$T$2:$T$170,"44562B2Energia horáriaRuralServiço público de irrigação ruralNão se aplicaNão se aplicaPonta",Mercado_Receita!$N$2:$N$170)</f>
        <v>0</v>
      </c>
      <c r="N25" s="12">
        <f>SUMIF(Mercado_Receita!$T$2:$T$170,"44593B2Energia horáriaRuralServiço público de irrigação ruralNão se aplicaNão se aplicaPonta",Mercado_Receita!$N$2:$N$170)</f>
        <v>0</v>
      </c>
      <c r="O25" s="12">
        <f>SUMIF(Mercado_Receita!$T$2:$T$170,"44621B2Energia horáriaRuralServiço público de irrigação ruralNão se aplicaNão se aplicaPonta",Mercado_Receita!$N$2:$N$170)</f>
        <v>0</v>
      </c>
      <c r="P25" s="12">
        <f>SUMIF(Mercado_Receita!$T$2:$T$170,"44652B2Energia horáriaRuralServiço público de irrigação ruralNão se aplicaNão se aplicaPonta",Mercado_Receita!$N$2:$N$170)</f>
        <v>0</v>
      </c>
      <c r="Q25" s="12">
        <f>SUMIF(Mercado_Receita!$T$2:$T$170,"44682B2Energia horáriaRuralServiço público de irrigação ruralNão se aplicaNão se aplicaPonta",Mercado_Receita!$N$2:$N$170)</f>
        <v>0</v>
      </c>
      <c r="R25" s="12">
        <f>SUMIF(Mercado_Receita!$T$2:$T$170,"44713B2Energia horáriaRuralServiço público de irrigação ruralNão se aplicaNão se aplicaPonta",Mercado_Receita!$N$2:$N$170)</f>
        <v>0</v>
      </c>
      <c r="S25" s="12">
        <f>SUMIF(Mercado_Receita!$T$2:$T$170,"44743B2Energia horáriaRuralServiço público de irrigação ruralNão se aplicaNão se aplicaPonta",Mercado_Receita!$N$2:$N$170)</f>
        <v>0</v>
      </c>
      <c r="T25" s="12">
        <f>SUMIF(Mercado_Receita!$T$2:$T$170,"44774B2Energia horáriaRuralServiço público de irrigação ruralNão se aplicaNão se aplicaPonta",Mercado_Receita!$N$2:$N$170)</f>
        <v>0</v>
      </c>
      <c r="U25" s="12">
        <f t="shared" si="0"/>
        <v>0</v>
      </c>
      <c r="V25" s="12"/>
      <c r="W25" s="12"/>
    </row>
    <row r="26" spans="1:23" ht="11.25" customHeight="1" x14ac:dyDescent="0.25">
      <c r="A26" s="90"/>
      <c r="B26" s="90"/>
      <c r="C26" s="90"/>
      <c r="D26" s="90"/>
      <c r="E26" s="90"/>
      <c r="F26" s="90"/>
      <c r="G26" s="12" t="s">
        <v>75</v>
      </c>
      <c r="H26" s="12" t="s">
        <v>63</v>
      </c>
      <c r="I26" s="12">
        <f>SUMIF(Mercado_Receita!$T$2:$T$170,"44440B2Energia horáriaRuralServiço público de irrigação ruralNão se aplicaNão se aplicaIntermediário",Mercado_Receita!$N$2:$N$170)</f>
        <v>0</v>
      </c>
      <c r="J26" s="12">
        <f>SUMIF(Mercado_Receita!$T$2:$T$170,"44470B2Energia horáriaRuralServiço público de irrigação ruralNão se aplicaNão se aplicaIntermediário",Mercado_Receita!$N$2:$N$170)</f>
        <v>0</v>
      </c>
      <c r="K26" s="12">
        <f>SUMIF(Mercado_Receita!$T$2:$T$170,"44501B2Energia horáriaRuralServiço público de irrigação ruralNão se aplicaNão se aplicaIntermediário",Mercado_Receita!$N$2:$N$170)</f>
        <v>0</v>
      </c>
      <c r="L26" s="12">
        <f>SUMIF(Mercado_Receita!$T$2:$T$170,"44531B2Energia horáriaRuralServiço público de irrigação ruralNão se aplicaNão se aplicaIntermediário",Mercado_Receita!$N$2:$N$170)</f>
        <v>0</v>
      </c>
      <c r="M26" s="12">
        <f>SUMIF(Mercado_Receita!$T$2:$T$170,"44562B2Energia horáriaRuralServiço público de irrigação ruralNão se aplicaNão se aplicaIntermediário",Mercado_Receita!$N$2:$N$170)</f>
        <v>0</v>
      </c>
      <c r="N26" s="12">
        <f>SUMIF(Mercado_Receita!$T$2:$T$170,"44593B2Energia horáriaRuralServiço público de irrigação ruralNão se aplicaNão se aplicaIntermediário",Mercado_Receita!$N$2:$N$170)</f>
        <v>0</v>
      </c>
      <c r="O26" s="12">
        <f>SUMIF(Mercado_Receita!$T$2:$T$170,"44621B2Energia horáriaRuralServiço público de irrigação ruralNão se aplicaNão se aplicaIntermediário",Mercado_Receita!$N$2:$N$170)</f>
        <v>0</v>
      </c>
      <c r="P26" s="12">
        <f>SUMIF(Mercado_Receita!$T$2:$T$170,"44652B2Energia horáriaRuralServiço público de irrigação ruralNão se aplicaNão se aplicaIntermediário",Mercado_Receita!$N$2:$N$170)</f>
        <v>0</v>
      </c>
      <c r="Q26" s="12">
        <f>SUMIF(Mercado_Receita!$T$2:$T$170,"44682B2Energia horáriaRuralServiço público de irrigação ruralNão se aplicaNão se aplicaIntermediário",Mercado_Receita!$N$2:$N$170)</f>
        <v>0</v>
      </c>
      <c r="R26" s="12">
        <f>SUMIF(Mercado_Receita!$T$2:$T$170,"44713B2Energia horáriaRuralServiço público de irrigação ruralNão se aplicaNão se aplicaIntermediário",Mercado_Receita!$N$2:$N$170)</f>
        <v>0</v>
      </c>
      <c r="S26" s="12">
        <f>SUMIF(Mercado_Receita!$T$2:$T$170,"44743B2Energia horáriaRuralServiço público de irrigação ruralNão se aplicaNão se aplicaIntermediário",Mercado_Receita!$N$2:$N$170)</f>
        <v>0</v>
      </c>
      <c r="T26" s="12">
        <f>SUMIF(Mercado_Receita!$T$2:$T$170,"44774B2Energia horáriaRuralServiço público de irrigação ruralNão se aplicaNão se aplicaIntermediário",Mercado_Receita!$N$2:$N$170)</f>
        <v>0</v>
      </c>
      <c r="U26" s="12">
        <f t="shared" si="0"/>
        <v>0</v>
      </c>
      <c r="V26" s="12"/>
      <c r="W26" s="12"/>
    </row>
    <row r="27" spans="1:23" ht="11.25" customHeight="1" x14ac:dyDescent="0.25">
      <c r="A27" s="90"/>
      <c r="B27" s="90"/>
      <c r="C27" s="90"/>
      <c r="D27" s="90"/>
      <c r="E27" s="90"/>
      <c r="F27" s="90"/>
      <c r="G27" s="12" t="s">
        <v>65</v>
      </c>
      <c r="H27" s="12" t="s">
        <v>63</v>
      </c>
      <c r="I27" s="12">
        <f>SUMIF(Mercado_Receita!$T$2:$T$170,"44440B2Energia horáriaRuralServiço público de irrigação ruralNão se aplicaNão se aplicaFora ponta",Mercado_Receita!$N$2:$N$170)</f>
        <v>0</v>
      </c>
      <c r="J27" s="12">
        <f>SUMIF(Mercado_Receita!$T$2:$T$170,"44470B2Energia horáriaRuralServiço público de irrigação ruralNão se aplicaNão se aplicaFora ponta",Mercado_Receita!$N$2:$N$170)</f>
        <v>0</v>
      </c>
      <c r="K27" s="12">
        <f>SUMIF(Mercado_Receita!$T$2:$T$170,"44501B2Energia horáriaRuralServiço público de irrigação ruralNão se aplicaNão se aplicaFora ponta",Mercado_Receita!$N$2:$N$170)</f>
        <v>0</v>
      </c>
      <c r="L27" s="12">
        <f>SUMIF(Mercado_Receita!$T$2:$T$170,"44531B2Energia horáriaRuralServiço público de irrigação ruralNão se aplicaNão se aplicaFora ponta",Mercado_Receita!$N$2:$N$170)</f>
        <v>0</v>
      </c>
      <c r="M27" s="12">
        <f>SUMIF(Mercado_Receita!$T$2:$T$170,"44562B2Energia horáriaRuralServiço público de irrigação ruralNão se aplicaNão se aplicaFora ponta",Mercado_Receita!$N$2:$N$170)</f>
        <v>0</v>
      </c>
      <c r="N27" s="12">
        <f>SUMIF(Mercado_Receita!$T$2:$T$170,"44593B2Energia horáriaRuralServiço público de irrigação ruralNão se aplicaNão se aplicaFora ponta",Mercado_Receita!$N$2:$N$170)</f>
        <v>0</v>
      </c>
      <c r="O27" s="12">
        <f>SUMIF(Mercado_Receita!$T$2:$T$170,"44621B2Energia horáriaRuralServiço público de irrigação ruralNão se aplicaNão se aplicaFora ponta",Mercado_Receita!$N$2:$N$170)</f>
        <v>0</v>
      </c>
      <c r="P27" s="12">
        <f>SUMIF(Mercado_Receita!$T$2:$T$170,"44652B2Energia horáriaRuralServiço público de irrigação ruralNão se aplicaNão se aplicaFora ponta",Mercado_Receita!$N$2:$N$170)</f>
        <v>0</v>
      </c>
      <c r="Q27" s="12">
        <f>SUMIF(Mercado_Receita!$T$2:$T$170,"44682B2Energia horáriaRuralServiço público de irrigação ruralNão se aplicaNão se aplicaFora ponta",Mercado_Receita!$N$2:$N$170)</f>
        <v>0</v>
      </c>
      <c r="R27" s="12">
        <f>SUMIF(Mercado_Receita!$T$2:$T$170,"44713B2Energia horáriaRuralServiço público de irrigação ruralNão se aplicaNão se aplicaFora ponta",Mercado_Receita!$N$2:$N$170)</f>
        <v>0</v>
      </c>
      <c r="S27" s="12">
        <f>SUMIF(Mercado_Receita!$T$2:$T$170,"44743B2Energia horáriaRuralServiço público de irrigação ruralNão se aplicaNão se aplicaFora ponta",Mercado_Receita!$N$2:$N$170)</f>
        <v>0</v>
      </c>
      <c r="T27" s="12">
        <f>SUMIF(Mercado_Receita!$T$2:$T$170,"44774B2Energia horáriaRuralServiço público de irrigação ruralNão se aplicaNão se aplicaFora ponta",Mercado_Receita!$N$2:$N$170)</f>
        <v>0</v>
      </c>
      <c r="U27" s="12">
        <f t="shared" si="0"/>
        <v>0</v>
      </c>
      <c r="V27" s="12"/>
      <c r="W27" s="12"/>
    </row>
    <row r="28" spans="1:23" ht="11.25" customHeight="1" x14ac:dyDescent="0.25">
      <c r="A28" s="90"/>
      <c r="B28" s="13" t="s">
        <v>76</v>
      </c>
      <c r="C28" s="13" t="s">
        <v>40</v>
      </c>
      <c r="D28" s="13" t="s">
        <v>81</v>
      </c>
      <c r="E28" s="13" t="s">
        <v>25</v>
      </c>
      <c r="F28" s="13" t="s">
        <v>25</v>
      </c>
      <c r="G28" s="12" t="s">
        <v>69</v>
      </c>
      <c r="H28" s="12" t="s">
        <v>63</v>
      </c>
      <c r="I28" s="12">
        <f>SUMIF(Mercado_Receita!$T$2:$T$170,"44440B2Energia convencionalRuralServiço público de irrigação ruralNão se aplicaNão se aplicaNão se aplica",Mercado_Receita!$N$2:$N$170)</f>
        <v>0</v>
      </c>
      <c r="J28" s="12">
        <f>SUMIF(Mercado_Receita!$T$2:$T$170,"44470B2Energia convencionalRuralServiço público de irrigação ruralNão se aplicaNão se aplicaNão se aplica",Mercado_Receita!$N$2:$N$170)</f>
        <v>0</v>
      </c>
      <c r="K28" s="12">
        <f>SUMIF(Mercado_Receita!$T$2:$T$170,"44501B2Energia convencionalRuralServiço público de irrigação ruralNão se aplicaNão se aplicaNão se aplica",Mercado_Receita!$N$2:$N$170)</f>
        <v>0</v>
      </c>
      <c r="L28" s="12">
        <f>SUMIF(Mercado_Receita!$T$2:$T$170,"44531B2Energia convencionalRuralServiço público de irrigação ruralNão se aplicaNão se aplicaNão se aplica",Mercado_Receita!$N$2:$N$170)</f>
        <v>0</v>
      </c>
      <c r="M28" s="12">
        <f>SUMIF(Mercado_Receita!$T$2:$T$170,"44562B2Energia convencionalRuralServiço público de irrigação ruralNão se aplicaNão se aplicaNão se aplica",Mercado_Receita!$N$2:$N$170)</f>
        <v>0</v>
      </c>
      <c r="N28" s="12">
        <f>SUMIF(Mercado_Receita!$T$2:$T$170,"44593B2Energia convencionalRuralServiço público de irrigação ruralNão se aplicaNão se aplicaNão se aplica",Mercado_Receita!$N$2:$N$170)</f>
        <v>0</v>
      </c>
      <c r="O28" s="12">
        <f>SUMIF(Mercado_Receita!$T$2:$T$170,"44621B2Energia convencionalRuralServiço público de irrigação ruralNão se aplicaNão se aplicaNão se aplica",Mercado_Receita!$N$2:$N$170)</f>
        <v>0</v>
      </c>
      <c r="P28" s="12">
        <f>SUMIF(Mercado_Receita!$T$2:$T$170,"44652B2Energia convencionalRuralServiço público de irrigação ruralNão se aplicaNão se aplicaNão se aplica",Mercado_Receita!$N$2:$N$170)</f>
        <v>0</v>
      </c>
      <c r="Q28" s="12">
        <f>SUMIF(Mercado_Receita!$T$2:$T$170,"44682B2Energia convencionalRuralServiço público de irrigação ruralNão se aplicaNão se aplicaNão se aplica",Mercado_Receita!$N$2:$N$170)</f>
        <v>0</v>
      </c>
      <c r="R28" s="12">
        <f>SUMIF(Mercado_Receita!$T$2:$T$170,"44713B2Energia convencionalRuralServiço público de irrigação ruralNão se aplicaNão se aplicaNão se aplica",Mercado_Receita!$N$2:$N$170)</f>
        <v>0</v>
      </c>
      <c r="S28" s="12">
        <f>SUMIF(Mercado_Receita!$T$2:$T$170,"44743B2Energia convencionalRuralServiço público de irrigação ruralNão se aplicaNão se aplicaNão se aplica",Mercado_Receita!$N$2:$N$170)</f>
        <v>0</v>
      </c>
      <c r="T28" s="12">
        <f>SUMIF(Mercado_Receita!$T$2:$T$170,"44774B2Energia convencionalRuralServiço público de irrigação ruralNão se aplicaNão se aplicaNão se aplica",Mercado_Receita!$N$2:$N$170)</f>
        <v>0</v>
      </c>
      <c r="U28" s="12">
        <f t="shared" si="0"/>
        <v>0</v>
      </c>
      <c r="V28" s="12"/>
      <c r="W28" s="12"/>
    </row>
    <row r="29" spans="1:23" ht="11.25" customHeight="1" x14ac:dyDescent="0.25">
      <c r="A29" s="90"/>
      <c r="B29" s="89" t="s">
        <v>78</v>
      </c>
      <c r="C29" s="89" t="s">
        <v>40</v>
      </c>
      <c r="D29" s="13" t="s">
        <v>25</v>
      </c>
      <c r="E29" s="13" t="s">
        <v>25</v>
      </c>
      <c r="F29" s="13" t="s">
        <v>25</v>
      </c>
      <c r="G29" s="12" t="s">
        <v>69</v>
      </c>
      <c r="H29" s="12" t="s">
        <v>63</v>
      </c>
      <c r="I29" s="12">
        <f>SUMIF(Mercado_Receita!$T$2:$T$170,"44440B2Energia convencional pré-pagamentoRuralNão se aplicaNão se aplicaNão se aplicaNão se aplica",Mercado_Receita!$N$2:$N$170)</f>
        <v>0</v>
      </c>
      <c r="J29" s="12">
        <f>SUMIF(Mercado_Receita!$T$2:$T$170,"44470B2Energia convencional pré-pagamentoRuralNão se aplicaNão se aplicaNão se aplicaNão se aplica",Mercado_Receita!$N$2:$N$170)</f>
        <v>0</v>
      </c>
      <c r="K29" s="12">
        <f>SUMIF(Mercado_Receita!$T$2:$T$170,"44501B2Energia convencional pré-pagamentoRuralNão se aplicaNão se aplicaNão se aplicaNão se aplica",Mercado_Receita!$N$2:$N$170)</f>
        <v>0</v>
      </c>
      <c r="L29" s="12">
        <f>SUMIF(Mercado_Receita!$T$2:$T$170,"44531B2Energia convencional pré-pagamentoRuralNão se aplicaNão se aplicaNão se aplicaNão se aplica",Mercado_Receita!$N$2:$N$170)</f>
        <v>0</v>
      </c>
      <c r="M29" s="12">
        <f>SUMIF(Mercado_Receita!$T$2:$T$170,"44562B2Energia convencional pré-pagamentoRuralNão se aplicaNão se aplicaNão se aplicaNão se aplica",Mercado_Receita!$N$2:$N$170)</f>
        <v>0</v>
      </c>
      <c r="N29" s="12">
        <f>SUMIF(Mercado_Receita!$T$2:$T$170,"44593B2Energia convencional pré-pagamentoRuralNão se aplicaNão se aplicaNão se aplicaNão se aplica",Mercado_Receita!$N$2:$N$170)</f>
        <v>0</v>
      </c>
      <c r="O29" s="12">
        <f>SUMIF(Mercado_Receita!$T$2:$T$170,"44621B2Energia convencional pré-pagamentoRuralNão se aplicaNão se aplicaNão se aplicaNão se aplica",Mercado_Receita!$N$2:$N$170)</f>
        <v>0</v>
      </c>
      <c r="P29" s="12">
        <f>SUMIF(Mercado_Receita!$T$2:$T$170,"44652B2Energia convencional pré-pagamentoRuralNão se aplicaNão se aplicaNão se aplicaNão se aplica",Mercado_Receita!$N$2:$N$170)</f>
        <v>0</v>
      </c>
      <c r="Q29" s="12">
        <f>SUMIF(Mercado_Receita!$T$2:$T$170,"44682B2Energia convencional pré-pagamentoRuralNão se aplicaNão se aplicaNão se aplicaNão se aplica",Mercado_Receita!$N$2:$N$170)</f>
        <v>0</v>
      </c>
      <c r="R29" s="12">
        <f>SUMIF(Mercado_Receita!$T$2:$T$170,"44713B2Energia convencional pré-pagamentoRuralNão se aplicaNão se aplicaNão se aplicaNão se aplica",Mercado_Receita!$N$2:$N$170)</f>
        <v>0</v>
      </c>
      <c r="S29" s="12">
        <f>SUMIF(Mercado_Receita!$T$2:$T$170,"44743B2Energia convencional pré-pagamentoRuralNão se aplicaNão se aplicaNão se aplicaNão se aplica",Mercado_Receita!$N$2:$N$170)</f>
        <v>0</v>
      </c>
      <c r="T29" s="12">
        <f>SUMIF(Mercado_Receita!$T$2:$T$170,"44774B2Energia convencional pré-pagamentoRuralNão se aplicaNão se aplicaNão se aplicaNão se aplica",Mercado_Receita!$N$2:$N$170)</f>
        <v>0</v>
      </c>
      <c r="U29" s="12">
        <f t="shared" si="0"/>
        <v>0</v>
      </c>
      <c r="V29" s="12"/>
      <c r="W29" s="12"/>
    </row>
    <row r="30" spans="1:23" ht="11.25" customHeight="1" x14ac:dyDescent="0.25">
      <c r="A30" s="90"/>
      <c r="B30" s="90"/>
      <c r="C30" s="90"/>
      <c r="D30" s="13" t="s">
        <v>80</v>
      </c>
      <c r="E30" s="13" t="s">
        <v>25</v>
      </c>
      <c r="F30" s="13" t="s">
        <v>25</v>
      </c>
      <c r="G30" s="12" t="s">
        <v>69</v>
      </c>
      <c r="H30" s="12" t="s">
        <v>63</v>
      </c>
      <c r="I30" s="12">
        <f>SUMIF(Mercado_Receita!$T$2:$T$170,"44440B2Energia convencional pré-pagamentoRuralCooperativa de eletrificação ruralNão se aplicaNão se aplicaNão se aplica",Mercado_Receita!$N$2:$N$170)</f>
        <v>0</v>
      </c>
      <c r="J30" s="12">
        <f>SUMIF(Mercado_Receita!$T$2:$T$170,"44470B2Energia convencional pré-pagamentoRuralCooperativa de eletrificação ruralNão se aplicaNão se aplicaNão se aplica",Mercado_Receita!$N$2:$N$170)</f>
        <v>0</v>
      </c>
      <c r="K30" s="12">
        <f>SUMIF(Mercado_Receita!$T$2:$T$170,"44501B2Energia convencional pré-pagamentoRuralCooperativa de eletrificação ruralNão se aplicaNão se aplicaNão se aplica",Mercado_Receita!$N$2:$N$170)</f>
        <v>0</v>
      </c>
      <c r="L30" s="12">
        <f>SUMIF(Mercado_Receita!$T$2:$T$170,"44531B2Energia convencional pré-pagamentoRuralCooperativa de eletrificação ruralNão se aplicaNão se aplicaNão se aplica",Mercado_Receita!$N$2:$N$170)</f>
        <v>0</v>
      </c>
      <c r="M30" s="12">
        <f>SUMIF(Mercado_Receita!$T$2:$T$170,"44562B2Energia convencional pré-pagamentoRuralCooperativa de eletrificação ruralNão se aplicaNão se aplicaNão se aplica",Mercado_Receita!$N$2:$N$170)</f>
        <v>0</v>
      </c>
      <c r="N30" s="12">
        <f>SUMIF(Mercado_Receita!$T$2:$T$170,"44593B2Energia convencional pré-pagamentoRuralCooperativa de eletrificação ruralNão se aplicaNão se aplicaNão se aplica",Mercado_Receita!$N$2:$N$170)</f>
        <v>0</v>
      </c>
      <c r="O30" s="12">
        <f>SUMIF(Mercado_Receita!$T$2:$T$170,"44621B2Energia convencional pré-pagamentoRuralCooperativa de eletrificação ruralNão se aplicaNão se aplicaNão se aplica",Mercado_Receita!$N$2:$N$170)</f>
        <v>0</v>
      </c>
      <c r="P30" s="12">
        <f>SUMIF(Mercado_Receita!$T$2:$T$170,"44652B2Energia convencional pré-pagamentoRuralCooperativa de eletrificação ruralNão se aplicaNão se aplicaNão se aplica",Mercado_Receita!$N$2:$N$170)</f>
        <v>0</v>
      </c>
      <c r="Q30" s="12">
        <f>SUMIF(Mercado_Receita!$T$2:$T$170,"44682B2Energia convencional pré-pagamentoRuralCooperativa de eletrificação ruralNão se aplicaNão se aplicaNão se aplica",Mercado_Receita!$N$2:$N$170)</f>
        <v>0</v>
      </c>
      <c r="R30" s="12">
        <f>SUMIF(Mercado_Receita!$T$2:$T$170,"44713B2Energia convencional pré-pagamentoRuralCooperativa de eletrificação ruralNão se aplicaNão se aplicaNão se aplica",Mercado_Receita!$N$2:$N$170)</f>
        <v>0</v>
      </c>
      <c r="S30" s="12">
        <f>SUMIF(Mercado_Receita!$T$2:$T$170,"44743B2Energia convencional pré-pagamentoRuralCooperativa de eletrificação ruralNão se aplicaNão se aplicaNão se aplica",Mercado_Receita!$N$2:$N$170)</f>
        <v>0</v>
      </c>
      <c r="T30" s="12">
        <f>SUMIF(Mercado_Receita!$T$2:$T$170,"44774B2Energia convencional pré-pagamentoRuralCooperativa de eletrificação ruralNão se aplicaNão se aplicaNão se aplica",Mercado_Receita!$N$2:$N$170)</f>
        <v>0</v>
      </c>
      <c r="U30" s="12">
        <f t="shared" si="0"/>
        <v>0</v>
      </c>
      <c r="V30" s="12"/>
      <c r="W30" s="12"/>
    </row>
    <row r="31" spans="1:23" ht="11.25" customHeight="1" x14ac:dyDescent="0.25">
      <c r="A31" s="90"/>
      <c r="B31" s="90"/>
      <c r="C31" s="90"/>
      <c r="D31" s="13" t="s">
        <v>81</v>
      </c>
      <c r="E31" s="13" t="s">
        <v>25</v>
      </c>
      <c r="F31" s="13" t="s">
        <v>25</v>
      </c>
      <c r="G31" s="12" t="s">
        <v>69</v>
      </c>
      <c r="H31" s="12" t="s">
        <v>63</v>
      </c>
      <c r="I31" s="12">
        <f>SUMIF(Mercado_Receita!$T$2:$T$170,"44440B2Energia convencional pré-pagamentoRuralServiço público de irrigação ruralNão se aplicaNão se aplicaNão se aplica",Mercado_Receita!$N$2:$N$170)</f>
        <v>0</v>
      </c>
      <c r="J31" s="12">
        <f>SUMIF(Mercado_Receita!$T$2:$T$170,"44470B2Energia convencional pré-pagamentoRuralServiço público de irrigação ruralNão se aplicaNão se aplicaNão se aplica",Mercado_Receita!$N$2:$N$170)</f>
        <v>0</v>
      </c>
      <c r="K31" s="12">
        <f>SUMIF(Mercado_Receita!$T$2:$T$170,"44501B2Energia convencional pré-pagamentoRuralServiço público de irrigação ruralNão se aplicaNão se aplicaNão se aplica",Mercado_Receita!$N$2:$N$170)</f>
        <v>0</v>
      </c>
      <c r="L31" s="12">
        <f>SUMIF(Mercado_Receita!$T$2:$T$170,"44531B2Energia convencional pré-pagamentoRuralServiço público de irrigação ruralNão se aplicaNão se aplicaNão se aplica",Mercado_Receita!$N$2:$N$170)</f>
        <v>0</v>
      </c>
      <c r="M31" s="12">
        <f>SUMIF(Mercado_Receita!$T$2:$T$170,"44562B2Energia convencional pré-pagamentoRuralServiço público de irrigação ruralNão se aplicaNão se aplicaNão se aplica",Mercado_Receita!$N$2:$N$170)</f>
        <v>0</v>
      </c>
      <c r="N31" s="12">
        <f>SUMIF(Mercado_Receita!$T$2:$T$170,"44593B2Energia convencional pré-pagamentoRuralServiço público de irrigação ruralNão se aplicaNão se aplicaNão se aplica",Mercado_Receita!$N$2:$N$170)</f>
        <v>0</v>
      </c>
      <c r="O31" s="12">
        <f>SUMIF(Mercado_Receita!$T$2:$T$170,"44621B2Energia convencional pré-pagamentoRuralServiço público de irrigação ruralNão se aplicaNão se aplicaNão se aplica",Mercado_Receita!$N$2:$N$170)</f>
        <v>0</v>
      </c>
      <c r="P31" s="12">
        <f>SUMIF(Mercado_Receita!$T$2:$T$170,"44652B2Energia convencional pré-pagamentoRuralServiço público de irrigação ruralNão se aplicaNão se aplicaNão se aplica",Mercado_Receita!$N$2:$N$170)</f>
        <v>0</v>
      </c>
      <c r="Q31" s="12">
        <f>SUMIF(Mercado_Receita!$T$2:$T$170,"44682B2Energia convencional pré-pagamentoRuralServiço público de irrigação ruralNão se aplicaNão se aplicaNão se aplica",Mercado_Receita!$N$2:$N$170)</f>
        <v>0</v>
      </c>
      <c r="R31" s="12">
        <f>SUMIF(Mercado_Receita!$T$2:$T$170,"44713B2Energia convencional pré-pagamentoRuralServiço público de irrigação ruralNão se aplicaNão se aplicaNão se aplica",Mercado_Receita!$N$2:$N$170)</f>
        <v>0</v>
      </c>
      <c r="S31" s="12">
        <f>SUMIF(Mercado_Receita!$T$2:$T$170,"44743B2Energia convencional pré-pagamentoRuralServiço público de irrigação ruralNão se aplicaNão se aplicaNão se aplica",Mercado_Receita!$N$2:$N$170)</f>
        <v>0</v>
      </c>
      <c r="T31" s="12">
        <f>SUMIF(Mercado_Receita!$T$2:$T$170,"44774B2Energia convencional pré-pagamentoRuralServiço público de irrigação ruralNão se aplicaNão se aplicaNão se aplica",Mercado_Receita!$N$2:$N$170)</f>
        <v>0</v>
      </c>
      <c r="U31" s="12">
        <f t="shared" si="0"/>
        <v>0</v>
      </c>
      <c r="V31" s="12"/>
      <c r="W31" s="12"/>
    </row>
    <row r="32" spans="1:23" ht="11.25" customHeight="1" x14ac:dyDescent="0.25">
      <c r="A32" s="89" t="s">
        <v>31</v>
      </c>
      <c r="B32" s="89" t="s">
        <v>62</v>
      </c>
      <c r="C32" s="89" t="s">
        <v>25</v>
      </c>
      <c r="D32" s="89" t="s">
        <v>25</v>
      </c>
      <c r="E32" s="89" t="s">
        <v>25</v>
      </c>
      <c r="F32" s="89" t="s">
        <v>25</v>
      </c>
      <c r="G32" s="12" t="s">
        <v>64</v>
      </c>
      <c r="H32" s="12" t="s">
        <v>63</v>
      </c>
      <c r="I32" s="12">
        <f>SUMIF(Mercado_Receita!$T$2:$T$170,"44440B3Energia horáriaNão se aplicaNão se aplicaNão se aplicaNão se aplicaPonta",Mercado_Receita!$N$2:$N$170)</f>
        <v>0</v>
      </c>
      <c r="J32" s="12">
        <f>SUMIF(Mercado_Receita!$T$2:$T$170,"44470B3Energia horáriaNão se aplicaNão se aplicaNão se aplicaNão se aplicaPonta",Mercado_Receita!$N$2:$N$170)</f>
        <v>0</v>
      </c>
      <c r="K32" s="12">
        <f>SUMIF(Mercado_Receita!$T$2:$T$170,"44501B3Energia horáriaNão se aplicaNão se aplicaNão se aplicaNão se aplicaPonta",Mercado_Receita!$N$2:$N$170)</f>
        <v>0</v>
      </c>
      <c r="L32" s="12">
        <f>SUMIF(Mercado_Receita!$T$2:$T$170,"44531B3Energia horáriaNão se aplicaNão se aplicaNão se aplicaNão se aplicaPonta",Mercado_Receita!$N$2:$N$170)</f>
        <v>0</v>
      </c>
      <c r="M32" s="12">
        <f>SUMIF(Mercado_Receita!$T$2:$T$170,"44562B3Energia horáriaNão se aplicaNão se aplicaNão se aplicaNão se aplicaPonta",Mercado_Receita!$N$2:$N$170)</f>
        <v>0</v>
      </c>
      <c r="N32" s="12">
        <f>SUMIF(Mercado_Receita!$T$2:$T$170,"44593B3Energia horáriaNão se aplicaNão se aplicaNão se aplicaNão se aplicaPonta",Mercado_Receita!$N$2:$N$170)</f>
        <v>0</v>
      </c>
      <c r="O32" s="12">
        <f>SUMIF(Mercado_Receita!$T$2:$T$170,"44621B3Energia horáriaNão se aplicaNão se aplicaNão se aplicaNão se aplicaPonta",Mercado_Receita!$N$2:$N$170)</f>
        <v>0</v>
      </c>
      <c r="P32" s="12">
        <f>SUMIF(Mercado_Receita!$T$2:$T$170,"44652B3Energia horáriaNão se aplicaNão se aplicaNão se aplicaNão se aplicaPonta",Mercado_Receita!$N$2:$N$170)</f>
        <v>0</v>
      </c>
      <c r="Q32" s="12">
        <f>SUMIF(Mercado_Receita!$T$2:$T$170,"44682B3Energia horáriaNão se aplicaNão se aplicaNão se aplicaNão se aplicaPonta",Mercado_Receita!$N$2:$N$170)</f>
        <v>0</v>
      </c>
      <c r="R32" s="12">
        <f>SUMIF(Mercado_Receita!$T$2:$T$170,"44713B3Energia horáriaNão se aplicaNão se aplicaNão se aplicaNão se aplicaPonta",Mercado_Receita!$N$2:$N$170)</f>
        <v>0</v>
      </c>
      <c r="S32" s="12">
        <f>SUMIF(Mercado_Receita!$T$2:$T$170,"44743B3Energia horáriaNão se aplicaNão se aplicaNão se aplicaNão se aplicaPonta",Mercado_Receita!$N$2:$N$170)</f>
        <v>0</v>
      </c>
      <c r="T32" s="12">
        <f>SUMIF(Mercado_Receita!$T$2:$T$170,"44774B3Energia horáriaNão se aplicaNão se aplicaNão se aplicaNão se aplicaPonta",Mercado_Receita!$N$2:$N$170)</f>
        <v>0</v>
      </c>
      <c r="U32" s="12">
        <f t="shared" si="0"/>
        <v>0</v>
      </c>
      <c r="V32" s="12"/>
      <c r="W32" s="12"/>
    </row>
    <row r="33" spans="1:23" ht="11.25" customHeight="1" x14ac:dyDescent="0.25">
      <c r="A33" s="90"/>
      <c r="B33" s="90"/>
      <c r="C33" s="90"/>
      <c r="D33" s="90"/>
      <c r="E33" s="90"/>
      <c r="F33" s="90"/>
      <c r="G33" s="12" t="s">
        <v>75</v>
      </c>
      <c r="H33" s="12" t="s">
        <v>63</v>
      </c>
      <c r="I33" s="12">
        <f>SUMIF(Mercado_Receita!$T$2:$T$170,"44440B3Energia horáriaNão se aplicaNão se aplicaNão se aplicaNão se aplicaIntermediário",Mercado_Receita!$N$2:$N$170)</f>
        <v>0</v>
      </c>
      <c r="J33" s="12">
        <f>SUMIF(Mercado_Receita!$T$2:$T$170,"44470B3Energia horáriaNão se aplicaNão se aplicaNão se aplicaNão se aplicaIntermediário",Mercado_Receita!$N$2:$N$170)</f>
        <v>0</v>
      </c>
      <c r="K33" s="12">
        <f>SUMIF(Mercado_Receita!$T$2:$T$170,"44501B3Energia horáriaNão se aplicaNão se aplicaNão se aplicaNão se aplicaIntermediário",Mercado_Receita!$N$2:$N$170)</f>
        <v>0</v>
      </c>
      <c r="L33" s="12">
        <f>SUMIF(Mercado_Receita!$T$2:$T$170,"44531B3Energia horáriaNão se aplicaNão se aplicaNão se aplicaNão se aplicaIntermediário",Mercado_Receita!$N$2:$N$170)</f>
        <v>0</v>
      </c>
      <c r="M33" s="12">
        <f>SUMIF(Mercado_Receita!$T$2:$T$170,"44562B3Energia horáriaNão se aplicaNão se aplicaNão se aplicaNão se aplicaIntermediário",Mercado_Receita!$N$2:$N$170)</f>
        <v>0</v>
      </c>
      <c r="N33" s="12">
        <f>SUMIF(Mercado_Receita!$T$2:$T$170,"44593B3Energia horáriaNão se aplicaNão se aplicaNão se aplicaNão se aplicaIntermediário",Mercado_Receita!$N$2:$N$170)</f>
        <v>0</v>
      </c>
      <c r="O33" s="12">
        <f>SUMIF(Mercado_Receita!$T$2:$T$170,"44621B3Energia horáriaNão se aplicaNão se aplicaNão se aplicaNão se aplicaIntermediário",Mercado_Receita!$N$2:$N$170)</f>
        <v>0</v>
      </c>
      <c r="P33" s="12">
        <f>SUMIF(Mercado_Receita!$T$2:$T$170,"44652B3Energia horáriaNão se aplicaNão se aplicaNão se aplicaNão se aplicaIntermediário",Mercado_Receita!$N$2:$N$170)</f>
        <v>0</v>
      </c>
      <c r="Q33" s="12">
        <f>SUMIF(Mercado_Receita!$T$2:$T$170,"44682B3Energia horáriaNão se aplicaNão se aplicaNão se aplicaNão se aplicaIntermediário",Mercado_Receita!$N$2:$N$170)</f>
        <v>0</v>
      </c>
      <c r="R33" s="12">
        <f>SUMIF(Mercado_Receita!$T$2:$T$170,"44713B3Energia horáriaNão se aplicaNão se aplicaNão se aplicaNão se aplicaIntermediário",Mercado_Receita!$N$2:$N$170)</f>
        <v>0</v>
      </c>
      <c r="S33" s="12">
        <f>SUMIF(Mercado_Receita!$T$2:$T$170,"44743B3Energia horáriaNão se aplicaNão se aplicaNão se aplicaNão se aplicaIntermediário",Mercado_Receita!$N$2:$N$170)</f>
        <v>0</v>
      </c>
      <c r="T33" s="12">
        <f>SUMIF(Mercado_Receita!$T$2:$T$170,"44774B3Energia horáriaNão se aplicaNão se aplicaNão se aplicaNão se aplicaIntermediário",Mercado_Receita!$N$2:$N$170)</f>
        <v>0</v>
      </c>
      <c r="U33" s="12">
        <f t="shared" si="0"/>
        <v>0</v>
      </c>
      <c r="V33" s="12"/>
      <c r="W33" s="12"/>
    </row>
    <row r="34" spans="1:23" ht="11.25" customHeight="1" x14ac:dyDescent="0.25">
      <c r="A34" s="90"/>
      <c r="B34" s="90"/>
      <c r="C34" s="90"/>
      <c r="D34" s="90"/>
      <c r="E34" s="90"/>
      <c r="F34" s="90"/>
      <c r="G34" s="12" t="s">
        <v>65</v>
      </c>
      <c r="H34" s="12" t="s">
        <v>63</v>
      </c>
      <c r="I34" s="12">
        <f>SUMIF(Mercado_Receita!$T$2:$T$170,"44440B3Energia horáriaNão se aplicaNão se aplicaNão se aplicaNão se aplicaFora ponta",Mercado_Receita!$N$2:$N$170)</f>
        <v>0</v>
      </c>
      <c r="J34" s="12">
        <f>SUMIF(Mercado_Receita!$T$2:$T$170,"44470B3Energia horáriaNão se aplicaNão se aplicaNão se aplicaNão se aplicaFora ponta",Mercado_Receita!$N$2:$N$170)</f>
        <v>0</v>
      </c>
      <c r="K34" s="12">
        <f>SUMIF(Mercado_Receita!$T$2:$T$170,"44501B3Energia horáriaNão se aplicaNão se aplicaNão se aplicaNão se aplicaFora ponta",Mercado_Receita!$N$2:$N$170)</f>
        <v>0</v>
      </c>
      <c r="L34" s="12">
        <f>SUMIF(Mercado_Receita!$T$2:$T$170,"44531B3Energia horáriaNão se aplicaNão se aplicaNão se aplicaNão se aplicaFora ponta",Mercado_Receita!$N$2:$N$170)</f>
        <v>0</v>
      </c>
      <c r="M34" s="12">
        <f>SUMIF(Mercado_Receita!$T$2:$T$170,"44562B3Energia horáriaNão se aplicaNão se aplicaNão se aplicaNão se aplicaFora ponta",Mercado_Receita!$N$2:$N$170)</f>
        <v>0</v>
      </c>
      <c r="N34" s="12">
        <f>SUMIF(Mercado_Receita!$T$2:$T$170,"44593B3Energia horáriaNão se aplicaNão se aplicaNão se aplicaNão se aplicaFora ponta",Mercado_Receita!$N$2:$N$170)</f>
        <v>0</v>
      </c>
      <c r="O34" s="12">
        <f>SUMIF(Mercado_Receita!$T$2:$T$170,"44621B3Energia horáriaNão se aplicaNão se aplicaNão se aplicaNão se aplicaFora ponta",Mercado_Receita!$N$2:$N$170)</f>
        <v>0</v>
      </c>
      <c r="P34" s="12">
        <f>SUMIF(Mercado_Receita!$T$2:$T$170,"44652B3Energia horáriaNão se aplicaNão se aplicaNão se aplicaNão se aplicaFora ponta",Mercado_Receita!$N$2:$N$170)</f>
        <v>0</v>
      </c>
      <c r="Q34" s="12">
        <f>SUMIF(Mercado_Receita!$T$2:$T$170,"44682B3Energia horáriaNão se aplicaNão se aplicaNão se aplicaNão se aplicaFora ponta",Mercado_Receita!$N$2:$N$170)</f>
        <v>0</v>
      </c>
      <c r="R34" s="12">
        <f>SUMIF(Mercado_Receita!$T$2:$T$170,"44713B3Energia horáriaNão se aplicaNão se aplicaNão se aplicaNão se aplicaFora ponta",Mercado_Receita!$N$2:$N$170)</f>
        <v>0</v>
      </c>
      <c r="S34" s="12">
        <f>SUMIF(Mercado_Receita!$T$2:$T$170,"44743B3Energia horáriaNão se aplicaNão se aplicaNão se aplicaNão se aplicaFora ponta",Mercado_Receita!$N$2:$N$170)</f>
        <v>0</v>
      </c>
      <c r="T34" s="12">
        <f>SUMIF(Mercado_Receita!$T$2:$T$170,"44774B3Energia horáriaNão se aplicaNão se aplicaNão se aplicaNão se aplicaFora ponta",Mercado_Receita!$N$2:$N$170)</f>
        <v>0</v>
      </c>
      <c r="U34" s="12">
        <f t="shared" si="0"/>
        <v>0</v>
      </c>
      <c r="V34" s="12"/>
      <c r="W34" s="12"/>
    </row>
    <row r="35" spans="1:23" ht="11.25" customHeight="1" x14ac:dyDescent="0.25">
      <c r="A35" s="90"/>
      <c r="B35" s="13" t="s">
        <v>76</v>
      </c>
      <c r="C35" s="13" t="s">
        <v>25</v>
      </c>
      <c r="D35" s="13" t="s">
        <v>25</v>
      </c>
      <c r="E35" s="13" t="s">
        <v>25</v>
      </c>
      <c r="F35" s="13" t="s">
        <v>25</v>
      </c>
      <c r="G35" s="12" t="s">
        <v>69</v>
      </c>
      <c r="H35" s="12" t="s">
        <v>63</v>
      </c>
      <c r="I35" s="12">
        <f>SUMIF(Mercado_Receita!$T$2:$T$170,"44440B3Energia convencionalNão se aplicaNão se aplicaNão se aplicaNão se aplicaNão se aplica",Mercado_Receita!$N$2:$N$170)</f>
        <v>120.99899999999998</v>
      </c>
      <c r="J35" s="12">
        <f>SUMIF(Mercado_Receita!$T$2:$T$170,"44470B3Energia convencionalNão se aplicaNão se aplicaNão se aplicaNão se aplicaNão se aplica",Mercado_Receita!$N$2:$N$170)</f>
        <v>121.566</v>
      </c>
      <c r="K35" s="12">
        <f>SUMIF(Mercado_Receita!$T$2:$T$170,"44501B3Energia convencionalNão se aplicaNão se aplicaNão se aplicaNão se aplicaNão se aplica",Mercado_Receita!$N$2:$N$170)</f>
        <v>110.61999999999999</v>
      </c>
      <c r="L35" s="12">
        <f>SUMIF(Mercado_Receita!$T$2:$T$170,"44531B3Energia convencionalNão se aplicaNão se aplicaNão se aplicaNão se aplicaNão se aplica",Mercado_Receita!$N$2:$N$170)</f>
        <v>121.29</v>
      </c>
      <c r="M35" s="12">
        <f>SUMIF(Mercado_Receita!$T$2:$T$170,"44562B3Energia convencionalNão se aplicaNão se aplicaNão se aplicaNão se aplicaNão se aplica",Mercado_Receita!$N$2:$N$170)</f>
        <v>88.674999999999997</v>
      </c>
      <c r="N35" s="12">
        <f>SUMIF(Mercado_Receita!$T$2:$T$170,"44593B3Energia convencionalNão se aplicaNão se aplicaNão se aplicaNão se aplicaNão se aplica",Mercado_Receita!$N$2:$N$170)</f>
        <v>114.476</v>
      </c>
      <c r="O35" s="12">
        <f>SUMIF(Mercado_Receita!$T$2:$T$170,"44621B3Energia convencionalNão se aplicaNão se aplicaNão se aplicaNão se aplicaNão se aplica",Mercado_Receita!$N$2:$N$170)</f>
        <v>125.907</v>
      </c>
      <c r="P35" s="12">
        <f>SUMIF(Mercado_Receita!$T$2:$T$170,"44652B3Energia convencionalNão se aplicaNão se aplicaNão se aplicaNão se aplicaNão se aplica",Mercado_Receita!$N$2:$N$170)</f>
        <v>136.91500000000002</v>
      </c>
      <c r="Q35" s="12">
        <f>SUMIF(Mercado_Receita!$T$2:$T$170,"44682B3Energia convencionalNão se aplicaNão se aplicaNão se aplicaNão se aplicaNão se aplica",Mercado_Receita!$N$2:$N$170)</f>
        <v>105.994</v>
      </c>
      <c r="R35" s="12">
        <f>SUMIF(Mercado_Receita!$T$2:$T$170,"44713B3Energia convencionalNão se aplicaNão se aplicaNão se aplicaNão se aplicaNão se aplica",Mercado_Receita!$N$2:$N$170)</f>
        <v>112.505</v>
      </c>
      <c r="S35" s="12">
        <f>SUMIF(Mercado_Receita!$T$2:$T$170,"44743B3Energia convencionalNão se aplicaNão se aplicaNão se aplicaNão se aplicaNão se aplica",Mercado_Receita!$N$2:$N$170)</f>
        <v>104.75600000000001</v>
      </c>
      <c r="T35" s="12">
        <f>SUMIF(Mercado_Receita!$T$2:$T$170,"44774B3Energia convencionalNão se aplicaNão se aplicaNão se aplicaNão se aplicaNão se aplica",Mercado_Receita!$N$2:$N$170)</f>
        <v>113.221</v>
      </c>
      <c r="U35" s="12">
        <f t="shared" si="0"/>
        <v>1376.9240000000002</v>
      </c>
      <c r="V35" s="12"/>
      <c r="W35" s="12"/>
    </row>
    <row r="36" spans="1:23" ht="11.25" customHeight="1" x14ac:dyDescent="0.25">
      <c r="A36" s="90"/>
      <c r="B36" s="13" t="s">
        <v>78</v>
      </c>
      <c r="C36" s="13" t="s">
        <v>25</v>
      </c>
      <c r="D36" s="13" t="s">
        <v>25</v>
      </c>
      <c r="E36" s="13" t="s">
        <v>25</v>
      </c>
      <c r="F36" s="13" t="s">
        <v>25</v>
      </c>
      <c r="G36" s="12" t="s">
        <v>69</v>
      </c>
      <c r="H36" s="12" t="s">
        <v>63</v>
      </c>
      <c r="I36" s="12">
        <f>SUMIF(Mercado_Receita!$T$2:$T$170,"44440B3Energia convencional pré-pagamentoNão se aplicaNão se aplicaNão se aplicaNão se aplicaNão se aplica",Mercado_Receita!$N$2:$N$170)</f>
        <v>0</v>
      </c>
      <c r="J36" s="12">
        <f>SUMIF(Mercado_Receita!$T$2:$T$170,"44470B3Energia convencional pré-pagamentoNão se aplicaNão se aplicaNão se aplicaNão se aplicaNão se aplica",Mercado_Receita!$N$2:$N$170)</f>
        <v>0</v>
      </c>
      <c r="K36" s="12">
        <f>SUMIF(Mercado_Receita!$T$2:$T$170,"44501B3Energia convencional pré-pagamentoNão se aplicaNão se aplicaNão se aplicaNão se aplicaNão se aplica",Mercado_Receita!$N$2:$N$170)</f>
        <v>0</v>
      </c>
      <c r="L36" s="12">
        <f>SUMIF(Mercado_Receita!$T$2:$T$170,"44531B3Energia convencional pré-pagamentoNão se aplicaNão se aplicaNão se aplicaNão se aplicaNão se aplica",Mercado_Receita!$N$2:$N$170)</f>
        <v>0</v>
      </c>
      <c r="M36" s="12">
        <f>SUMIF(Mercado_Receita!$T$2:$T$170,"44562B3Energia convencional pré-pagamentoNão se aplicaNão se aplicaNão se aplicaNão se aplicaNão se aplica",Mercado_Receita!$N$2:$N$170)</f>
        <v>0</v>
      </c>
      <c r="N36" s="12">
        <f>SUMIF(Mercado_Receita!$T$2:$T$170,"44593B3Energia convencional pré-pagamentoNão se aplicaNão se aplicaNão se aplicaNão se aplicaNão se aplica",Mercado_Receita!$N$2:$N$170)</f>
        <v>0</v>
      </c>
      <c r="O36" s="12">
        <f>SUMIF(Mercado_Receita!$T$2:$T$170,"44621B3Energia convencional pré-pagamentoNão se aplicaNão se aplicaNão se aplicaNão se aplicaNão se aplica",Mercado_Receita!$N$2:$N$170)</f>
        <v>0</v>
      </c>
      <c r="P36" s="12">
        <f>SUMIF(Mercado_Receita!$T$2:$T$170,"44652B3Energia convencional pré-pagamentoNão se aplicaNão se aplicaNão se aplicaNão se aplicaNão se aplica",Mercado_Receita!$N$2:$N$170)</f>
        <v>0</v>
      </c>
      <c r="Q36" s="12">
        <f>SUMIF(Mercado_Receita!$T$2:$T$170,"44682B3Energia convencional pré-pagamentoNão se aplicaNão se aplicaNão se aplicaNão se aplicaNão se aplica",Mercado_Receita!$N$2:$N$170)</f>
        <v>0</v>
      </c>
      <c r="R36" s="12">
        <f>SUMIF(Mercado_Receita!$T$2:$T$170,"44713B3Energia convencional pré-pagamentoNão se aplicaNão se aplicaNão se aplicaNão se aplicaNão se aplica",Mercado_Receita!$N$2:$N$170)</f>
        <v>0</v>
      </c>
      <c r="S36" s="12">
        <f>SUMIF(Mercado_Receita!$T$2:$T$170,"44743B3Energia convencional pré-pagamentoNão se aplicaNão se aplicaNão se aplicaNão se aplicaNão se aplica",Mercado_Receita!$N$2:$N$170)</f>
        <v>0</v>
      </c>
      <c r="T36" s="12">
        <f>SUMIF(Mercado_Receita!$T$2:$T$170,"44774B3Energia convencional pré-pagamentoNão se aplicaNão se aplicaNão se aplicaNão se aplicaNão se aplica",Mercado_Receita!$N$2:$N$170)</f>
        <v>0</v>
      </c>
      <c r="U36" s="12">
        <f t="shared" si="0"/>
        <v>0</v>
      </c>
      <c r="V36" s="12"/>
      <c r="W36" s="12"/>
    </row>
    <row r="37" spans="1:23" ht="11.25" customHeight="1" x14ac:dyDescent="0.25">
      <c r="A37" s="89" t="s">
        <v>42</v>
      </c>
      <c r="B37" s="89" t="s">
        <v>76</v>
      </c>
      <c r="C37" s="89" t="s">
        <v>43</v>
      </c>
      <c r="D37" s="13" t="s">
        <v>82</v>
      </c>
      <c r="E37" s="13" t="s">
        <v>25</v>
      </c>
      <c r="F37" s="13" t="s">
        <v>25</v>
      </c>
      <c r="G37" s="12" t="s">
        <v>69</v>
      </c>
      <c r="H37" s="12" t="s">
        <v>63</v>
      </c>
      <c r="I37" s="12">
        <f>SUMIF(Mercado_Receita!$T$2:$T$170,"44440B4Energia convencionalIluminação públicaIluminação pública – B4aNão se aplicaNão se aplicaNão se aplica",Mercado_Receita!$N$2:$N$170)</f>
        <v>0</v>
      </c>
      <c r="J37" s="12">
        <f>SUMIF(Mercado_Receita!$T$2:$T$170,"44470B4Energia convencionalIluminação públicaIluminação pública – B4aNão se aplicaNão se aplicaNão se aplica",Mercado_Receita!$N$2:$N$170)</f>
        <v>0</v>
      </c>
      <c r="K37" s="12">
        <f>SUMIF(Mercado_Receita!$T$2:$T$170,"44501B4Energia convencionalIluminação públicaIluminação pública – B4aNão se aplicaNão se aplicaNão se aplica",Mercado_Receita!$N$2:$N$170)</f>
        <v>0</v>
      </c>
      <c r="L37" s="12">
        <f>SUMIF(Mercado_Receita!$T$2:$T$170,"44531B4Energia convencionalIluminação públicaIluminação pública – B4aNão se aplicaNão se aplicaNão se aplica",Mercado_Receita!$N$2:$N$170)</f>
        <v>0</v>
      </c>
      <c r="M37" s="12">
        <f>SUMIF(Mercado_Receita!$T$2:$T$170,"44562B4Energia convencionalIluminação públicaIluminação pública – B4aNão se aplicaNão se aplicaNão se aplica",Mercado_Receita!$N$2:$N$170)</f>
        <v>0</v>
      </c>
      <c r="N37" s="12">
        <f>SUMIF(Mercado_Receita!$T$2:$T$170,"44593B4Energia convencionalIluminação públicaIluminação pública – B4aNão se aplicaNão se aplicaNão se aplica",Mercado_Receita!$N$2:$N$170)</f>
        <v>0</v>
      </c>
      <c r="O37" s="12">
        <f>SUMIF(Mercado_Receita!$T$2:$T$170,"44621B4Energia convencionalIluminação públicaIluminação pública – B4aNão se aplicaNão se aplicaNão se aplica",Mercado_Receita!$N$2:$N$170)</f>
        <v>0</v>
      </c>
      <c r="P37" s="12">
        <f>SUMIF(Mercado_Receita!$T$2:$T$170,"44652B4Energia convencionalIluminação públicaIluminação pública – B4aNão se aplicaNão se aplicaNão se aplica",Mercado_Receita!$N$2:$N$170)</f>
        <v>0</v>
      </c>
      <c r="Q37" s="12">
        <f>SUMIF(Mercado_Receita!$T$2:$T$170,"44682B4Energia convencionalIluminação públicaIluminação pública – B4aNão se aplicaNão se aplicaNão se aplica",Mercado_Receita!$N$2:$N$170)</f>
        <v>0</v>
      </c>
      <c r="R37" s="12">
        <f>SUMIF(Mercado_Receita!$T$2:$T$170,"44713B4Energia convencionalIluminação públicaIluminação pública – B4aNão se aplicaNão se aplicaNão se aplica",Mercado_Receita!$N$2:$N$170)</f>
        <v>0</v>
      </c>
      <c r="S37" s="12">
        <f>SUMIF(Mercado_Receita!$T$2:$T$170,"44743B4Energia convencionalIluminação públicaIluminação pública – B4aNão se aplicaNão se aplicaNão se aplica",Mercado_Receita!$N$2:$N$170)</f>
        <v>0</v>
      </c>
      <c r="T37" s="12">
        <f>SUMIF(Mercado_Receita!$T$2:$T$170,"44774B4Energia convencionalIluminação públicaIluminação pública – B4aNão se aplicaNão se aplicaNão se aplica",Mercado_Receita!$N$2:$N$170)</f>
        <v>0</v>
      </c>
      <c r="U37" s="12">
        <f t="shared" si="0"/>
        <v>0</v>
      </c>
      <c r="V37" s="12"/>
      <c r="W37" s="12"/>
    </row>
    <row r="38" spans="1:23" ht="11.25" customHeight="1" x14ac:dyDescent="0.25">
      <c r="A38" s="90"/>
      <c r="B38" s="90"/>
      <c r="C38" s="90"/>
      <c r="D38" s="12" t="s">
        <v>44</v>
      </c>
      <c r="E38" s="12" t="s">
        <v>25</v>
      </c>
      <c r="F38" s="12" t="s">
        <v>25</v>
      </c>
      <c r="G38" s="12" t="s">
        <v>69</v>
      </c>
      <c r="H38" s="12" t="s">
        <v>63</v>
      </c>
      <c r="I38" s="12">
        <f>SUMIF(Mercado_Receita!$T$2:$T$170,"44440B4Energia convencionalIluminação públicaIluminação pública – B4bNão se aplicaNão se aplicaNão se aplica",Mercado_Receita!$N$2:$N$170)</f>
        <v>45.606999999999999</v>
      </c>
      <c r="J38" s="12">
        <f>SUMIF(Mercado_Receita!$T$2:$T$170,"44470B4Energia convencionalIluminação públicaIluminação pública – B4bNão se aplicaNão se aplicaNão se aplica",Mercado_Receita!$N$2:$N$170)</f>
        <v>45.606999999999999</v>
      </c>
      <c r="K38" s="12">
        <f>SUMIF(Mercado_Receita!$T$2:$T$170,"44501B4Energia convencionalIluminação públicaIluminação pública – B4bNão se aplicaNão se aplicaNão se aplica",Mercado_Receita!$N$2:$N$170)</f>
        <v>45.606999999999999</v>
      </c>
      <c r="L38" s="12">
        <f>SUMIF(Mercado_Receita!$T$2:$T$170,"44531B4Energia convencionalIluminação públicaIluminação pública – B4bNão se aplicaNão se aplicaNão se aplica",Mercado_Receita!$N$2:$N$170)</f>
        <v>45.606999999999999</v>
      </c>
      <c r="M38" s="12">
        <f>SUMIF(Mercado_Receita!$T$2:$T$170,"44562B4Energia convencionalIluminação públicaIluminação pública – B4bNão se aplicaNão se aplicaNão se aplica",Mercado_Receita!$N$2:$N$170)</f>
        <v>45.606999999999999</v>
      </c>
      <c r="N38" s="12">
        <f>SUMIF(Mercado_Receita!$T$2:$T$170,"44593B4Energia convencionalIluminação públicaIluminação pública – B4bNão se aplicaNão se aplicaNão se aplica",Mercado_Receita!$N$2:$N$170)</f>
        <v>45.606999999999999</v>
      </c>
      <c r="O38" s="12">
        <f>SUMIF(Mercado_Receita!$T$2:$T$170,"44621B4Energia convencionalIluminação públicaIluminação pública – B4bNão se aplicaNão se aplicaNão se aplica",Mercado_Receita!$N$2:$N$170)</f>
        <v>45.606999999999999</v>
      </c>
      <c r="P38" s="12">
        <f>SUMIF(Mercado_Receita!$T$2:$T$170,"44652B4Energia convencionalIluminação públicaIluminação pública – B4bNão se aplicaNão se aplicaNão se aplica",Mercado_Receita!$N$2:$N$170)</f>
        <v>45.606999999999999</v>
      </c>
      <c r="Q38" s="12">
        <f>SUMIF(Mercado_Receita!$T$2:$T$170,"44682B4Energia convencionalIluminação públicaIluminação pública – B4bNão se aplicaNão se aplicaNão se aplica",Mercado_Receita!$N$2:$N$170)</f>
        <v>45.606999999999999</v>
      </c>
      <c r="R38" s="12">
        <f>SUMIF(Mercado_Receita!$T$2:$T$170,"44713B4Energia convencionalIluminação públicaIluminação pública – B4bNão se aplicaNão se aplicaNão se aplica",Mercado_Receita!$N$2:$N$170)</f>
        <v>45.606999999999999</v>
      </c>
      <c r="S38" s="12">
        <f>SUMIF(Mercado_Receita!$T$2:$T$170,"44743B4Energia convencionalIluminação públicaIluminação pública – B4bNão se aplicaNão se aplicaNão se aplica",Mercado_Receita!$N$2:$N$170)</f>
        <v>45.606999999999999</v>
      </c>
      <c r="T38" s="12">
        <f>SUMIF(Mercado_Receita!$T$2:$T$170,"44774B4Energia convencionalIluminação públicaIluminação pública – B4bNão se aplicaNão se aplicaNão se aplica",Mercado_Receita!$N$2:$N$170)</f>
        <v>45.606999999999999</v>
      </c>
      <c r="U38" s="12">
        <f t="shared" si="0"/>
        <v>547.28399999999988</v>
      </c>
      <c r="V38" s="12"/>
      <c r="W38" s="12"/>
    </row>
    <row r="39" spans="1:23" ht="11.25" customHeight="1" x14ac:dyDescent="0.25">
      <c r="A39" s="91" t="s">
        <v>321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12"/>
      <c r="W39" s="12"/>
    </row>
  </sheetData>
  <mergeCells count="44">
    <mergeCell ref="A37:A38"/>
    <mergeCell ref="B37:B38"/>
    <mergeCell ref="C37:C38"/>
    <mergeCell ref="A39:U39"/>
    <mergeCell ref="C29:C31"/>
    <mergeCell ref="B29:B31"/>
    <mergeCell ref="A17:A31"/>
    <mergeCell ref="F32:F34"/>
    <mergeCell ref="E32:E34"/>
    <mergeCell ref="D32:D34"/>
    <mergeCell ref="C32:C34"/>
    <mergeCell ref="B32:B34"/>
    <mergeCell ref="A32:A36"/>
    <mergeCell ref="F21:F23"/>
    <mergeCell ref="E21:E23"/>
    <mergeCell ref="D21:D23"/>
    <mergeCell ref="C21:C23"/>
    <mergeCell ref="B21:B23"/>
    <mergeCell ref="F25:F27"/>
    <mergeCell ref="E25:E27"/>
    <mergeCell ref="D25:D27"/>
    <mergeCell ref="C25:C27"/>
    <mergeCell ref="B25:B27"/>
    <mergeCell ref="C12:C16"/>
    <mergeCell ref="B12:B16"/>
    <mergeCell ref="A4:A16"/>
    <mergeCell ref="F17:F19"/>
    <mergeCell ref="E17:E19"/>
    <mergeCell ref="D17:D19"/>
    <mergeCell ref="C17:C19"/>
    <mergeCell ref="B17:B19"/>
    <mergeCell ref="F4:F6"/>
    <mergeCell ref="E4:E6"/>
    <mergeCell ref="D4:D6"/>
    <mergeCell ref="C4:C6"/>
    <mergeCell ref="B4:B6"/>
    <mergeCell ref="C7:C11"/>
    <mergeCell ref="B7:B11"/>
    <mergeCell ref="A2:A3"/>
    <mergeCell ref="F2:F3"/>
    <mergeCell ref="E2:E3"/>
    <mergeCell ref="D2:D3"/>
    <mergeCell ref="C2:C3"/>
    <mergeCell ref="B2:B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607E-6C26-4BD1-95CC-B8A55B90DA5C}">
  <dimension ref="A1:AD200"/>
  <sheetViews>
    <sheetView showGridLines="0" workbookViewId="0">
      <selection activeCell="A30" sqref="A30:A46"/>
    </sheetView>
  </sheetViews>
  <sheetFormatPr defaultRowHeight="12" customHeight="1" x14ac:dyDescent="0.2"/>
  <cols>
    <col min="1" max="1" width="10.5703125" style="14" bestFit="1" customWidth="1"/>
    <col min="2" max="2" width="14.42578125" style="14" bestFit="1" customWidth="1"/>
    <col min="3" max="3" width="18.42578125" style="14" bestFit="1" customWidth="1"/>
    <col min="4" max="4" width="15" style="14" bestFit="1" customWidth="1"/>
    <col min="5" max="5" width="14.5703125" style="14" bestFit="1" customWidth="1"/>
    <col min="6" max="6" width="4.42578125" style="14" bestFit="1" customWidth="1"/>
    <col min="7" max="7" width="9.140625" style="14"/>
    <col min="8" max="8" width="10.85546875" style="14" bestFit="1" customWidth="1"/>
    <col min="9" max="11" width="9.140625" style="14"/>
    <col min="12" max="12" width="34.140625" style="14" bestFit="1" customWidth="1"/>
    <col min="13" max="13" width="10.85546875" style="14" bestFit="1" customWidth="1"/>
    <col min="14" max="14" width="36.140625" style="14" bestFit="1" customWidth="1"/>
    <col min="15" max="15" width="30.7109375" style="14" customWidth="1"/>
    <col min="16" max="16" width="13.5703125" style="14" bestFit="1" customWidth="1"/>
    <col min="17" max="17" width="9.28515625" style="14" bestFit="1" customWidth="1"/>
    <col min="18" max="18" width="14.5703125" style="14" bestFit="1" customWidth="1"/>
    <col min="19" max="19" width="31.140625" style="14" bestFit="1" customWidth="1"/>
    <col min="20" max="20" width="15.42578125" style="14" bestFit="1" customWidth="1"/>
    <col min="21" max="21" width="10.85546875" style="14" bestFit="1" customWidth="1"/>
    <col min="22" max="22" width="13.28515625" style="14" bestFit="1" customWidth="1"/>
    <col min="23" max="23" width="5" style="14" bestFit="1" customWidth="1"/>
    <col min="24" max="24" width="53.140625" style="14" bestFit="1" customWidth="1"/>
    <col min="25" max="26" width="5" style="14" bestFit="1" customWidth="1"/>
    <col min="27" max="27" width="2" style="14" bestFit="1" customWidth="1"/>
    <col min="28" max="16384" width="9.140625" style="14"/>
  </cols>
  <sheetData>
    <row r="1" spans="1:30" ht="12" customHeight="1" x14ac:dyDescent="0.2">
      <c r="A1" s="10" t="s">
        <v>361</v>
      </c>
      <c r="B1" s="10" t="s">
        <v>362</v>
      </c>
      <c r="C1" s="10" t="s">
        <v>363</v>
      </c>
      <c r="D1" s="10" t="s">
        <v>364</v>
      </c>
      <c r="E1" s="10" t="s">
        <v>365</v>
      </c>
      <c r="F1" s="10" t="s">
        <v>366</v>
      </c>
      <c r="G1" s="7"/>
      <c r="H1" s="7"/>
      <c r="I1" s="7"/>
      <c r="J1" s="7"/>
      <c r="K1" s="7"/>
      <c r="L1" s="103" t="s">
        <v>367</v>
      </c>
      <c r="M1" s="103"/>
      <c r="N1" s="7"/>
      <c r="O1" s="98" t="s">
        <v>454</v>
      </c>
      <c r="P1" s="99"/>
      <c r="Q1" s="99"/>
      <c r="R1" s="99"/>
      <c r="S1" s="99"/>
      <c r="T1" s="99"/>
      <c r="U1" s="99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93" t="s">
        <v>322</v>
      </c>
      <c r="B2" s="93" t="s">
        <v>323</v>
      </c>
      <c r="C2" s="16" t="s">
        <v>408</v>
      </c>
      <c r="D2" s="12">
        <v>0</v>
      </c>
      <c r="E2" s="12">
        <v>0</v>
      </c>
      <c r="F2" s="12">
        <v>0</v>
      </c>
      <c r="G2" s="15"/>
      <c r="H2" s="15"/>
      <c r="I2" s="15"/>
      <c r="J2" s="15"/>
      <c r="K2" s="15"/>
      <c r="L2" s="22" t="s">
        <v>368</v>
      </c>
      <c r="M2" s="59">
        <v>0.14069999999999999</v>
      </c>
      <c r="N2" s="15"/>
      <c r="O2" s="28" t="s">
        <v>455</v>
      </c>
      <c r="P2" s="28" t="s">
        <v>456</v>
      </c>
      <c r="Q2" s="28" t="s">
        <v>457</v>
      </c>
      <c r="R2" s="28" t="s">
        <v>33</v>
      </c>
      <c r="S2" s="28" t="s">
        <v>458</v>
      </c>
      <c r="T2" s="28" t="s">
        <v>72</v>
      </c>
      <c r="U2" s="28"/>
      <c r="V2" s="15"/>
      <c r="W2" s="15"/>
      <c r="X2" s="22" t="s">
        <v>421</v>
      </c>
      <c r="Y2" s="15"/>
      <c r="Z2" s="15"/>
      <c r="AA2" s="15" t="s">
        <v>466</v>
      </c>
      <c r="AB2" s="15"/>
      <c r="AC2" s="15"/>
      <c r="AD2" s="15"/>
    </row>
    <row r="3" spans="1:30" ht="12" customHeight="1" x14ac:dyDescent="0.2">
      <c r="A3" s="95"/>
      <c r="B3" s="95"/>
      <c r="C3" s="16" t="s">
        <v>324</v>
      </c>
      <c r="D3" s="12">
        <v>20528.077865070933</v>
      </c>
      <c r="E3" s="12">
        <v>-265.52917760075673</v>
      </c>
      <c r="F3" s="12">
        <v>0</v>
      </c>
      <c r="G3" s="15"/>
      <c r="H3" s="15"/>
      <c r="I3" s="15"/>
      <c r="J3" s="15"/>
      <c r="K3" s="15"/>
      <c r="L3" s="22" t="s">
        <v>369</v>
      </c>
      <c r="M3" s="59"/>
      <c r="N3" s="15"/>
      <c r="O3" s="29">
        <v>1</v>
      </c>
      <c r="P3" s="29">
        <v>1</v>
      </c>
      <c r="Q3" s="29">
        <v>1</v>
      </c>
      <c r="R3" s="29">
        <v>1</v>
      </c>
      <c r="S3" s="29">
        <v>1</v>
      </c>
      <c r="T3" s="63">
        <v>0.9</v>
      </c>
      <c r="U3" s="29" t="s">
        <v>459</v>
      </c>
      <c r="V3" s="15"/>
      <c r="W3" s="15"/>
      <c r="X3" s="22" t="s">
        <v>422</v>
      </c>
      <c r="Y3" s="15"/>
      <c r="Z3" s="15"/>
      <c r="AA3" s="15">
        <v>0</v>
      </c>
      <c r="AB3" s="15"/>
      <c r="AC3" s="15"/>
      <c r="AD3" s="15"/>
    </row>
    <row r="4" spans="1:30" ht="12" customHeight="1" x14ac:dyDescent="0.2">
      <c r="A4" s="95"/>
      <c r="B4" s="95"/>
      <c r="C4" s="16" t="s">
        <v>325</v>
      </c>
      <c r="D4" s="12">
        <f>$M$22-D$30</f>
        <v>0</v>
      </c>
      <c r="E4" s="12">
        <f>IF((D4+D$30)&lt;&gt;0,$M$20*D4/(D4+D$30),0)</f>
        <v>0</v>
      </c>
      <c r="F4" s="12">
        <f>IF((D4+D$30)&lt;&gt;0,$M$21*D4/(D4+D$30),0)</f>
        <v>0</v>
      </c>
      <c r="G4" s="15"/>
      <c r="H4" s="15"/>
      <c r="I4" s="15"/>
      <c r="J4" s="15"/>
      <c r="K4" s="15"/>
      <c r="L4" s="22" t="s">
        <v>370</v>
      </c>
      <c r="M4" s="59">
        <v>8.5874515481677571E-2</v>
      </c>
      <c r="N4" s="15"/>
      <c r="O4" s="29">
        <v>1</v>
      </c>
      <c r="P4" s="29">
        <v>1</v>
      </c>
      <c r="Q4" s="29">
        <v>1</v>
      </c>
      <c r="R4" s="29">
        <v>1</v>
      </c>
      <c r="S4" s="29">
        <v>1</v>
      </c>
      <c r="T4" s="29">
        <v>1</v>
      </c>
      <c r="U4" s="29" t="s">
        <v>71</v>
      </c>
      <c r="V4" s="15"/>
      <c r="W4" s="15"/>
      <c r="X4" s="15"/>
      <c r="Y4" s="15"/>
      <c r="Z4" s="15"/>
      <c r="AA4" s="15"/>
      <c r="AB4" s="15"/>
      <c r="AC4" s="15"/>
      <c r="AD4" s="15"/>
    </row>
    <row r="5" spans="1:30" ht="12" customHeight="1" x14ac:dyDescent="0.2">
      <c r="A5" s="95"/>
      <c r="B5" s="95"/>
      <c r="C5" s="16" t="s">
        <v>326</v>
      </c>
      <c r="D5" s="12">
        <v>0</v>
      </c>
      <c r="E5" s="12"/>
      <c r="F5" s="12"/>
      <c r="G5" s="15"/>
      <c r="H5" s="15"/>
      <c r="I5" s="15"/>
      <c r="J5" s="15"/>
      <c r="K5" s="15"/>
      <c r="L5" s="22" t="s">
        <v>371</v>
      </c>
      <c r="M5" s="59">
        <v>1E-14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2" customHeight="1" x14ac:dyDescent="0.2">
      <c r="A6" s="95"/>
      <c r="B6" s="95"/>
      <c r="C6" s="16" t="s">
        <v>327</v>
      </c>
      <c r="D6" s="12">
        <v>0</v>
      </c>
      <c r="E6" s="12">
        <v>0</v>
      </c>
      <c r="F6" s="12">
        <v>0</v>
      </c>
      <c r="G6" s="15"/>
      <c r="H6" s="15"/>
      <c r="I6" s="15"/>
      <c r="J6" s="15"/>
      <c r="K6" s="15"/>
      <c r="L6" s="22" t="s">
        <v>372</v>
      </c>
      <c r="M6" s="59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2" customHeight="1" x14ac:dyDescent="0.2">
      <c r="A7" s="95"/>
      <c r="B7" s="95"/>
      <c r="C7" s="16" t="s">
        <v>328</v>
      </c>
      <c r="D7" s="12">
        <v>4334434.3109400002</v>
      </c>
      <c r="E7" s="12">
        <v>-48767.209514869857</v>
      </c>
      <c r="F7" s="12">
        <v>0</v>
      </c>
      <c r="G7" s="15"/>
      <c r="H7" s="15"/>
      <c r="I7" s="15"/>
      <c r="J7" s="15"/>
      <c r="K7" s="15"/>
      <c r="L7" s="22" t="s">
        <v>373</v>
      </c>
      <c r="M7" s="22">
        <f>M8+M9+M10+M11</f>
        <v>1720.3250000000023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2" customHeight="1" x14ac:dyDescent="0.2">
      <c r="A8" s="95"/>
      <c r="B8" s="95"/>
      <c r="C8" s="16" t="s">
        <v>329</v>
      </c>
      <c r="D8" s="12">
        <v>800993.75328000018</v>
      </c>
      <c r="E8" s="12">
        <v>-8700.7586157352198</v>
      </c>
      <c r="F8" s="12">
        <v>0</v>
      </c>
      <c r="G8" s="15"/>
      <c r="H8" s="15"/>
      <c r="I8" s="15"/>
      <c r="J8" s="15"/>
      <c r="K8" s="15"/>
      <c r="L8" s="60" t="s">
        <v>374</v>
      </c>
      <c r="M8" s="22">
        <v>1720.3250000000023</v>
      </c>
      <c r="N8" s="15"/>
      <c r="O8" s="22" t="s">
        <v>407</v>
      </c>
      <c r="P8" s="29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95"/>
      <c r="B9" s="95"/>
      <c r="C9" s="16" t="s">
        <v>330</v>
      </c>
      <c r="D9" s="12"/>
      <c r="E9" s="12"/>
      <c r="F9" s="12"/>
      <c r="G9" s="15"/>
      <c r="H9" s="15"/>
      <c r="I9" s="15"/>
      <c r="J9" s="15"/>
      <c r="K9" s="15"/>
      <c r="L9" s="61" t="s">
        <v>375</v>
      </c>
      <c r="M9" s="22">
        <v>0</v>
      </c>
      <c r="N9" s="15"/>
      <c r="O9" s="22" t="s">
        <v>412</v>
      </c>
      <c r="P9" s="29">
        <f>SUM(Mercado_Receita!$J$2:$J$170)</f>
        <v>200748</v>
      </c>
      <c r="Q9" s="29">
        <v>200748</v>
      </c>
      <c r="R9" s="29" t="str">
        <f>IF(ABS(P9-Q9)&gt;1,"ERRO BADNET","OK BADNET")</f>
        <v>OK BADNET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2" customHeight="1" x14ac:dyDescent="0.2">
      <c r="A10" s="95"/>
      <c r="B10" s="94"/>
      <c r="C10" s="16" t="s">
        <v>331</v>
      </c>
      <c r="D10" s="12">
        <f>SUM(D$2:D9)</f>
        <v>5155956.1420850707</v>
      </c>
      <c r="E10" s="12">
        <f>SUM(E$2:E9)</f>
        <v>-57733.497308205835</v>
      </c>
      <c r="F10" s="12">
        <f>SUM(F$2:F9)</f>
        <v>0</v>
      </c>
      <c r="G10" s="15"/>
      <c r="H10" s="15"/>
      <c r="I10" s="15"/>
      <c r="J10" s="15"/>
      <c r="K10" s="15"/>
      <c r="L10" s="60" t="s">
        <v>376</v>
      </c>
      <c r="M10" s="22">
        <v>0</v>
      </c>
      <c r="N10" s="15"/>
      <c r="O10" s="22" t="s">
        <v>413</v>
      </c>
      <c r="P10" s="29">
        <f>SUM(Mercado_Receita!$L$2:$L$170)</f>
        <v>56695.71200000008</v>
      </c>
      <c r="Q10" s="29">
        <v>56695.712</v>
      </c>
      <c r="R10" s="29" t="str">
        <f>IF(ABS(P10-Q10)&gt;1,"ERRO BADNET","OK BADNET")</f>
        <v>OK BADNET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2" customHeight="1" x14ac:dyDescent="0.2">
      <c r="A11" s="95"/>
      <c r="B11" s="93" t="s">
        <v>332</v>
      </c>
      <c r="C11" s="16" t="s">
        <v>333</v>
      </c>
      <c r="D11" s="12">
        <v>0</v>
      </c>
      <c r="E11" s="12">
        <v>0</v>
      </c>
      <c r="F11" s="12">
        <f>IF((+$D$11+$D$12+$D$16+$D$17+$D$39)&lt;&gt;0,$M$19*$D$11/(+$D$11+$D$12+$D$16+$D$17+$D$39),0)</f>
        <v>0</v>
      </c>
      <c r="G11" s="15"/>
      <c r="H11" s="15"/>
      <c r="I11" s="15"/>
      <c r="J11" s="15"/>
      <c r="K11" s="15"/>
      <c r="L11" s="60" t="s">
        <v>377</v>
      </c>
      <c r="M11" s="22">
        <v>0</v>
      </c>
      <c r="N11" s="15"/>
      <c r="O11" s="22" t="s">
        <v>414</v>
      </c>
      <c r="P11" s="29">
        <f>SUM(Mercado_Receita!$N$2:$N$170)</f>
        <v>56695.71200000008</v>
      </c>
      <c r="Q11" s="29">
        <v>56695.712</v>
      </c>
      <c r="R11" s="29" t="str">
        <f>IF(ABS(P11-Q11)&gt;1,"ERRO BADNET","OK BADNET")</f>
        <v>OK BADNET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2" customHeight="1" x14ac:dyDescent="0.2">
      <c r="A12" s="95"/>
      <c r="B12" s="95"/>
      <c r="C12" s="16" t="s">
        <v>334</v>
      </c>
      <c r="D12" s="12">
        <v>0</v>
      </c>
      <c r="E12" s="12">
        <v>0</v>
      </c>
      <c r="F12" s="12">
        <f>IF((+$D$11+$D$12+$D$16+$D$17+$D$39)&lt;&gt;0,$M$19*$D$12/(+$D$11+$D$12+$D$16+$D$17+$D$39),0)</f>
        <v>0</v>
      </c>
      <c r="G12" s="15"/>
      <c r="H12" s="15"/>
      <c r="I12" s="15"/>
      <c r="J12" s="15"/>
      <c r="K12" s="15"/>
      <c r="L12" s="22" t="s">
        <v>378</v>
      </c>
      <c r="M12" s="22">
        <v>58416.037000000011</v>
      </c>
      <c r="N12" s="15"/>
      <c r="O12" s="22" t="s">
        <v>415</v>
      </c>
      <c r="P12" s="29">
        <f>SUMIF('MERCADO TUSD'!$H$2:$H$48,"kW",'MERCADO TUSD'!$U$2:$U$48)</f>
        <v>200748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2" customHeight="1" x14ac:dyDescent="0.2">
      <c r="A13" s="95"/>
      <c r="B13" s="95"/>
      <c r="C13" s="16" t="s">
        <v>335</v>
      </c>
      <c r="D13" s="12">
        <f>-$M$51+0</f>
        <v>0</v>
      </c>
      <c r="E13" s="12"/>
      <c r="F13" s="12"/>
      <c r="G13" s="15"/>
      <c r="H13" s="15"/>
      <c r="I13" s="15"/>
      <c r="J13" s="15"/>
      <c r="K13" s="15"/>
      <c r="L13" s="22" t="s">
        <v>379</v>
      </c>
      <c r="M13" s="22">
        <v>967.09330644579404</v>
      </c>
      <c r="N13" s="15"/>
      <c r="O13" s="22" t="s">
        <v>416</v>
      </c>
      <c r="P13" s="29">
        <f>SUMIF('MERCADO TUSD'!$H$2:$H$48,"MWh",'MERCADO TUSD'!$U$2:$U$48)</f>
        <v>56695.712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2" customHeight="1" x14ac:dyDescent="0.2">
      <c r="A14" s="95"/>
      <c r="B14" s="95"/>
      <c r="C14" s="16" t="s">
        <v>336</v>
      </c>
      <c r="D14" s="12"/>
      <c r="E14" s="12"/>
      <c r="F14" s="12"/>
      <c r="G14" s="15"/>
      <c r="H14" s="15"/>
      <c r="I14" s="15"/>
      <c r="J14" s="15"/>
      <c r="K14" s="15"/>
      <c r="L14" s="22" t="s">
        <v>380</v>
      </c>
      <c r="M14" s="22">
        <v>243.05180330034366</v>
      </c>
      <c r="N14" s="15"/>
      <c r="O14" s="22" t="s">
        <v>417</v>
      </c>
      <c r="P14" s="29">
        <f>SUMIF('MERCADO TE'!$H$2:$H$38,"MWh",'MERCADO TE'!$U$2:$U$38)</f>
        <v>56695.712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" customHeight="1" x14ac:dyDescent="0.2">
      <c r="A15" s="95"/>
      <c r="B15" s="95"/>
      <c r="C15" s="16" t="s">
        <v>337</v>
      </c>
      <c r="D15" s="12">
        <v>2156133.9775</v>
      </c>
      <c r="E15" s="12">
        <v>63610.411416400762</v>
      </c>
      <c r="F15" s="12">
        <v>0</v>
      </c>
      <c r="G15" s="15"/>
      <c r="H15" s="15"/>
      <c r="I15" s="15"/>
      <c r="J15" s="15"/>
      <c r="K15" s="15"/>
      <c r="L15" s="22" t="s">
        <v>381</v>
      </c>
      <c r="M15" s="22">
        <f>M14*M12</f>
        <v>14198123.134509601</v>
      </c>
      <c r="N15" s="15"/>
      <c r="O15" s="22" t="s">
        <v>418</v>
      </c>
      <c r="P15" s="29" t="str">
        <f>IF(ABS(P9-P12)&gt;1,"ERRO","OK")</f>
        <v>OK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2" customHeight="1" x14ac:dyDescent="0.2">
      <c r="A16" s="95"/>
      <c r="B16" s="95"/>
      <c r="C16" s="16" t="s">
        <v>338</v>
      </c>
      <c r="D16" s="12">
        <v>0</v>
      </c>
      <c r="E16" s="12"/>
      <c r="F16" s="12">
        <f>IF((+$D$11+$D$12+$D$16+$D$17+$D$39)&lt;&gt;0,$M$19*$D$16/(+$D$11+$D$12+$D$16+$D$17+$D$39),0)</f>
        <v>0</v>
      </c>
      <c r="G16" s="15"/>
      <c r="H16" s="15"/>
      <c r="I16" s="15"/>
      <c r="J16" s="15"/>
      <c r="K16" s="15"/>
      <c r="L16" s="22" t="s">
        <v>382</v>
      </c>
      <c r="M16" s="22">
        <v>116425.73578068009</v>
      </c>
      <c r="N16" s="15"/>
      <c r="O16" s="22" t="s">
        <v>419</v>
      </c>
      <c r="P16" s="29" t="str">
        <f>IF(ABS(P10-P13)&gt;1,"ERRO","OK")</f>
        <v>OK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2" customHeight="1" x14ac:dyDescent="0.2">
      <c r="A17" s="95"/>
      <c r="B17" s="95"/>
      <c r="C17" s="16" t="s">
        <v>339</v>
      </c>
      <c r="D17" s="12">
        <v>0</v>
      </c>
      <c r="E17" s="12"/>
      <c r="F17" s="12">
        <f>IF((+$D$11+$D$12+$D$16+$D$17+$D$39)&lt;&gt;0,$M$19*$D$17/(+$D$11+$D$12+$D$16+$D$17+$D$39),0)</f>
        <v>0</v>
      </c>
      <c r="G17" s="15"/>
      <c r="H17" s="15"/>
      <c r="I17" s="15"/>
      <c r="J17" s="15"/>
      <c r="K17" s="15"/>
      <c r="L17" s="22" t="s">
        <v>383</v>
      </c>
      <c r="M17" s="22">
        <v>0</v>
      </c>
      <c r="N17" s="15"/>
      <c r="O17" s="22" t="s">
        <v>420</v>
      </c>
      <c r="P17" s="29" t="str">
        <f>IF(ABS(P11-P14)&gt;1,"ERRO","OK")</f>
        <v>OK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2" customHeight="1" x14ac:dyDescent="0.2">
      <c r="A18" s="95"/>
      <c r="B18" s="94"/>
      <c r="C18" s="16" t="s">
        <v>331</v>
      </c>
      <c r="D18" s="12">
        <f>SUM(D$11:D17)</f>
        <v>2156133.9775</v>
      </c>
      <c r="E18" s="12">
        <f>SUM(E$11:E17)</f>
        <v>63610.411416400762</v>
      </c>
      <c r="F18" s="12">
        <f>SUM(F$11:F17)</f>
        <v>0</v>
      </c>
      <c r="G18" s="15"/>
      <c r="H18" s="15"/>
      <c r="I18" s="15"/>
      <c r="J18" s="15"/>
      <c r="K18" s="15"/>
      <c r="L18" s="22" t="s">
        <v>384</v>
      </c>
      <c r="M18" s="22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2" customHeight="1" x14ac:dyDescent="0.2">
      <c r="A19" s="95"/>
      <c r="B19" s="93" t="s">
        <v>340</v>
      </c>
      <c r="C19" s="16" t="s">
        <v>341</v>
      </c>
      <c r="D19" s="12">
        <v>4510443.0453111222</v>
      </c>
      <c r="E19" s="12">
        <v>0</v>
      </c>
      <c r="F19" s="12">
        <v>0</v>
      </c>
      <c r="G19" s="15"/>
      <c r="H19" s="15"/>
      <c r="I19" s="15"/>
      <c r="J19" s="15"/>
      <c r="K19" s="15"/>
      <c r="L19" s="22" t="s">
        <v>385</v>
      </c>
      <c r="M19" s="22"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2" customHeight="1" x14ac:dyDescent="0.2">
      <c r="A20" s="95"/>
      <c r="B20" s="94"/>
      <c r="C20" s="16" t="s">
        <v>331</v>
      </c>
      <c r="D20" s="12">
        <f>SUM(D$19:D19)</f>
        <v>4510443.0453111222</v>
      </c>
      <c r="E20" s="12">
        <f>SUM(E$19:E19)</f>
        <v>0</v>
      </c>
      <c r="F20" s="12">
        <f>SUM(F$19:F19)</f>
        <v>0</v>
      </c>
      <c r="G20" s="15"/>
      <c r="H20" s="15"/>
      <c r="I20" s="15"/>
      <c r="J20" s="15"/>
      <c r="K20" s="15"/>
      <c r="L20" s="22" t="s">
        <v>386</v>
      </c>
      <c r="M20" s="22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2" customHeight="1" x14ac:dyDescent="0.2">
      <c r="A21" s="95"/>
      <c r="B21" s="93" t="s">
        <v>342</v>
      </c>
      <c r="C21" s="16" t="s">
        <v>343</v>
      </c>
      <c r="D21" s="12"/>
      <c r="E21" s="12">
        <f>IF($D$47&lt;&gt;0,(1-$D$46/$D$47)*-648775.812060366,0)+0</f>
        <v>-305197.71894690522</v>
      </c>
      <c r="F21" s="12"/>
      <c r="G21" s="15"/>
      <c r="H21" s="15"/>
      <c r="I21" s="15"/>
      <c r="J21" s="15"/>
      <c r="K21" s="15"/>
      <c r="L21" s="22" t="s">
        <v>387</v>
      </c>
      <c r="M21" s="22"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2" customHeight="1" x14ac:dyDescent="0.2">
      <c r="A22" s="95"/>
      <c r="B22" s="95"/>
      <c r="C22" s="16" t="s">
        <v>344</v>
      </c>
      <c r="D22" s="12"/>
      <c r="E22" s="12"/>
      <c r="F22" s="12"/>
      <c r="G22" s="15"/>
      <c r="H22" s="15"/>
      <c r="I22" s="15"/>
      <c r="J22" s="15"/>
      <c r="K22" s="15"/>
      <c r="L22" s="22" t="s">
        <v>409</v>
      </c>
      <c r="M22" s="22"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2" customHeight="1" x14ac:dyDescent="0.2">
      <c r="A23" s="95"/>
      <c r="B23" s="94"/>
      <c r="C23" s="16" t="s">
        <v>331</v>
      </c>
      <c r="D23" s="12">
        <f>SUM(D$21:D22)</f>
        <v>0</v>
      </c>
      <c r="E23" s="12">
        <f>SUM(E$21:E22)</f>
        <v>-305197.71894690522</v>
      </c>
      <c r="F23" s="12">
        <f>SUM(F$21:F22)</f>
        <v>0</v>
      </c>
      <c r="G23" s="15"/>
      <c r="H23" s="15"/>
      <c r="I23" s="15"/>
      <c r="J23" s="15"/>
      <c r="K23" s="15"/>
      <c r="L23" s="22" t="s">
        <v>388</v>
      </c>
      <c r="M23" s="22">
        <v>18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2" customHeight="1" x14ac:dyDescent="0.2">
      <c r="A24" s="95"/>
      <c r="B24" s="93" t="s">
        <v>345</v>
      </c>
      <c r="C24" s="16" t="s">
        <v>346</v>
      </c>
      <c r="D24" s="12">
        <f>$M$14*$M$8</f>
        <v>418128.09351266426</v>
      </c>
      <c r="E24" s="12">
        <f>$M$16*$M$8/$M$12</f>
        <v>3428.6835292660935</v>
      </c>
      <c r="F24" s="12">
        <f>$M$17*$M$8/$M$12</f>
        <v>0</v>
      </c>
      <c r="G24" s="15"/>
      <c r="H24" s="15"/>
      <c r="I24" s="15"/>
      <c r="J24" s="15"/>
      <c r="K24" s="15"/>
      <c r="L24" s="22" t="s">
        <v>389</v>
      </c>
      <c r="M24" s="22"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2" customHeight="1" x14ac:dyDescent="0.2">
      <c r="A25" s="95"/>
      <c r="B25" s="95"/>
      <c r="C25" s="16" t="s">
        <v>347</v>
      </c>
      <c r="D25" s="12">
        <f>$M$14*$M$10</f>
        <v>0</v>
      </c>
      <c r="E25" s="12">
        <f>$M$16*$M$10/$M$12</f>
        <v>0</v>
      </c>
      <c r="F25" s="12">
        <f>$M$17*$M$10/$M$12</f>
        <v>0</v>
      </c>
      <c r="G25" s="15"/>
      <c r="H25" s="15"/>
      <c r="I25" s="15"/>
      <c r="J25" s="15"/>
      <c r="K25" s="15"/>
      <c r="L25" s="22" t="s">
        <v>390</v>
      </c>
      <c r="M25" s="22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2" customHeight="1" x14ac:dyDescent="0.2">
      <c r="A26" s="95"/>
      <c r="B26" s="95"/>
      <c r="C26" s="16" t="s">
        <v>348</v>
      </c>
      <c r="D26" s="12">
        <f>$M$14*$M$9</f>
        <v>0</v>
      </c>
      <c r="E26" s="12">
        <f>$M$16*$M$9/$M$12</f>
        <v>0</v>
      </c>
      <c r="F26" s="12">
        <f>$M$17*$M$9/$M$12</f>
        <v>0</v>
      </c>
      <c r="G26" s="15"/>
      <c r="H26" s="15"/>
      <c r="I26" s="15"/>
      <c r="J26" s="15"/>
      <c r="K26" s="15"/>
      <c r="L26" s="22" t="s">
        <v>391</v>
      </c>
      <c r="M26" s="22"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2" customHeight="1" x14ac:dyDescent="0.2">
      <c r="A27" s="95"/>
      <c r="B27" s="95"/>
      <c r="C27" s="16" t="s">
        <v>349</v>
      </c>
      <c r="D27" s="12"/>
      <c r="E27" s="12"/>
      <c r="F27" s="12"/>
      <c r="G27" s="15"/>
      <c r="H27" s="15"/>
      <c r="I27" s="15"/>
      <c r="J27" s="15"/>
      <c r="K27" s="15"/>
      <c r="L27" s="22" t="s">
        <v>392</v>
      </c>
      <c r="M27" s="22">
        <v>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2" customHeight="1" x14ac:dyDescent="0.2">
      <c r="A28" s="95"/>
      <c r="B28" s="94"/>
      <c r="C28" s="16" t="s">
        <v>331</v>
      </c>
      <c r="D28" s="12">
        <f>SUM(D$24:D27)</f>
        <v>418128.09351266426</v>
      </c>
      <c r="E28" s="12">
        <f>SUM(E$24:E27)</f>
        <v>3428.6835292660935</v>
      </c>
      <c r="F28" s="12">
        <f>SUM(F$24:F27)</f>
        <v>0</v>
      </c>
      <c r="G28" s="15"/>
      <c r="H28" s="15"/>
      <c r="I28" s="15"/>
      <c r="J28" s="15"/>
      <c r="K28" s="15"/>
      <c r="L28" s="22" t="s">
        <v>393</v>
      </c>
      <c r="M28" s="22"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2" customHeight="1" x14ac:dyDescent="0.2">
      <c r="A29" s="94"/>
      <c r="B29" s="96" t="s">
        <v>331</v>
      </c>
      <c r="C29" s="97"/>
      <c r="D29" s="12">
        <f>SUMIF(C$2:C28,"SUBTOTAL",D$2:D28)</f>
        <v>12240661.258408858</v>
      </c>
      <c r="E29" s="12">
        <f>SUMIF(C$2:C28,"SUBTOTAL",E$2:E28)</f>
        <v>-295892.12130944419</v>
      </c>
      <c r="F29" s="12">
        <f>SUMIF(C$2:C28,"SUBTOTAL",F$2:F28)</f>
        <v>0</v>
      </c>
      <c r="G29" s="15"/>
      <c r="H29" s="15"/>
      <c r="I29" s="15"/>
      <c r="J29" s="15"/>
      <c r="K29" s="15"/>
      <c r="L29" s="22" t="s">
        <v>394</v>
      </c>
      <c r="M29" s="22"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2" customHeight="1" x14ac:dyDescent="0.2">
      <c r="A30" s="93" t="s">
        <v>350</v>
      </c>
      <c r="B30" s="93" t="s">
        <v>323</v>
      </c>
      <c r="C30" s="16" t="s">
        <v>325</v>
      </c>
      <c r="D30" s="12">
        <f>IFERROR($M$5*(+D$31+D$32+D$33+D$34+D$36+D$38+D$39+D$40+D$44)+($M$5^2)*(+D$31+D$32+D$33+D$34+D$36+D$38+D$39+D$40+D$44)/$M$22*(+$E$2+$F$2+$E$3+$F$3+$E$8+$F$8+$E$9+$F$9+$E$11+$F$11+$E$12+$F$12+$E$13+$F$13+$E$14+$F$14+$E$15+$F$15+$E$16+$F$16+$E$17+$F$17+$E$19+$F$19+$E$22+$F$22+$E$24+$F$24+$E$25+$F$25+$E$26+$F$26+$E$27+$F$27+$E$31+$F$31+$E$32+$F$32+$E$33+$F$33+$E$34+$F$34+$E$36+$F$36+$E$38+$F$38+$E$39+$F$39+$E$40+$F$40+$E$44+$F$44),0)</f>
        <v>0</v>
      </c>
      <c r="E30" s="12">
        <f>IF((D30+D$4)&lt;&gt;0,$M$20*D30/(D30+D$4),0)</f>
        <v>0</v>
      </c>
      <c r="F30" s="12">
        <f>IF((D30+D$4)&lt;&gt;0,$M$21*D30/(D30+D$4),0)</f>
        <v>0</v>
      </c>
      <c r="G30" s="15"/>
      <c r="H30" s="15"/>
      <c r="I30" s="15"/>
      <c r="J30" s="15"/>
      <c r="K30" s="15"/>
      <c r="L30" s="22" t="s">
        <v>395</v>
      </c>
      <c r="M30" s="22"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2" customHeight="1" x14ac:dyDescent="0.2">
      <c r="A31" s="95"/>
      <c r="B31" s="95"/>
      <c r="C31" s="16" t="s">
        <v>351</v>
      </c>
      <c r="D31" s="12">
        <v>0</v>
      </c>
      <c r="E31" s="12">
        <v>0</v>
      </c>
      <c r="F31" s="12">
        <v>0</v>
      </c>
      <c r="G31" s="15"/>
      <c r="H31" s="15"/>
      <c r="I31" s="15"/>
      <c r="J31" s="15"/>
      <c r="K31" s="15"/>
      <c r="L31" s="22" t="s">
        <v>396</v>
      </c>
      <c r="M31" s="22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2" customHeight="1" x14ac:dyDescent="0.2">
      <c r="A32" s="95"/>
      <c r="B32" s="95"/>
      <c r="C32" s="16" t="s">
        <v>352</v>
      </c>
      <c r="D32" s="12">
        <v>0</v>
      </c>
      <c r="E32" s="12">
        <v>0</v>
      </c>
      <c r="F32" s="12">
        <v>0</v>
      </c>
      <c r="G32" s="15"/>
      <c r="H32" s="15"/>
      <c r="I32" s="15"/>
      <c r="J32" s="15"/>
      <c r="K32" s="15"/>
      <c r="L32" s="22" t="s">
        <v>397</v>
      </c>
      <c r="M32" s="22">
        <v>0.45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2" customHeight="1" x14ac:dyDescent="0.2">
      <c r="A33" s="95"/>
      <c r="B33" s="95"/>
      <c r="C33" s="16" t="s">
        <v>411</v>
      </c>
      <c r="D33" s="12"/>
      <c r="E33" s="12">
        <v>0</v>
      </c>
      <c r="F33" s="12">
        <v>0</v>
      </c>
      <c r="G33" s="15"/>
      <c r="H33" s="15"/>
      <c r="I33" s="15"/>
      <c r="J33" s="15"/>
      <c r="K33" s="15"/>
      <c r="L33" s="22" t="s">
        <v>398</v>
      </c>
      <c r="M33" s="22">
        <v>0.4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2" customHeight="1" x14ac:dyDescent="0.2">
      <c r="A34" s="95"/>
      <c r="B34" s="95"/>
      <c r="C34" s="16" t="s">
        <v>353</v>
      </c>
      <c r="D34" s="12">
        <v>0</v>
      </c>
      <c r="E34" s="12">
        <v>0</v>
      </c>
      <c r="F34" s="12">
        <v>0</v>
      </c>
      <c r="G34" s="15"/>
      <c r="H34" s="15"/>
      <c r="I34" s="15"/>
      <c r="J34" s="15"/>
      <c r="K34" s="15"/>
      <c r="L34" s="22" t="s">
        <v>399</v>
      </c>
      <c r="M34" s="22">
        <v>0.65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2" customHeight="1" x14ac:dyDescent="0.2">
      <c r="A35" s="95"/>
      <c r="B35" s="94"/>
      <c r="C35" s="16" t="s">
        <v>331</v>
      </c>
      <c r="D35" s="12">
        <f>SUM(D$30:D34)</f>
        <v>0</v>
      </c>
      <c r="E35" s="12">
        <f>SUM(E$30:E34)</f>
        <v>0</v>
      </c>
      <c r="F35" s="12">
        <f>SUM(F$30:F34)</f>
        <v>0</v>
      </c>
      <c r="G35" s="15"/>
      <c r="H35" s="15"/>
      <c r="I35" s="15"/>
      <c r="J35" s="15"/>
      <c r="K35" s="15"/>
      <c r="L35" s="22" t="s">
        <v>400</v>
      </c>
      <c r="M35" s="22">
        <v>0.4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2" customHeight="1" x14ac:dyDescent="0.2">
      <c r="A36" s="95"/>
      <c r="B36" s="93" t="s">
        <v>354</v>
      </c>
      <c r="C36" s="16" t="s">
        <v>355</v>
      </c>
      <c r="D36" s="12">
        <f>$M$14*($M$12-$M$7)</f>
        <v>13779995.040996935</v>
      </c>
      <c r="E36" s="12">
        <f>$M$16*($M$12-$M$7)/$M$12</f>
        <v>112997.05225141399</v>
      </c>
      <c r="F36" s="12">
        <f>$M$17*($M$12-$M$7)/$M$12</f>
        <v>0</v>
      </c>
      <c r="G36" s="15"/>
      <c r="H36" s="15"/>
      <c r="I36" s="15"/>
      <c r="J36" s="15"/>
      <c r="K36" s="15"/>
      <c r="L36" s="22" t="s">
        <v>401</v>
      </c>
      <c r="M36" s="22">
        <v>0.1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2" customHeight="1" x14ac:dyDescent="0.2">
      <c r="A37" s="95"/>
      <c r="B37" s="94"/>
      <c r="C37" s="16" t="s">
        <v>331</v>
      </c>
      <c r="D37" s="12">
        <f>SUM(D$36:D36)</f>
        <v>13779995.040996935</v>
      </c>
      <c r="E37" s="12">
        <f>SUM(E$36:E36)</f>
        <v>112997.05225141399</v>
      </c>
      <c r="F37" s="12">
        <f>SUM(F$36:F36)</f>
        <v>0</v>
      </c>
      <c r="G37" s="15"/>
      <c r="H37" s="15"/>
      <c r="I37" s="15"/>
      <c r="J37" s="15"/>
      <c r="K37" s="15"/>
      <c r="L37" s="22" t="s">
        <v>402</v>
      </c>
      <c r="M37" s="22">
        <v>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2" customHeight="1" x14ac:dyDescent="0.2">
      <c r="A38" s="95"/>
      <c r="B38" s="93" t="s">
        <v>332</v>
      </c>
      <c r="C38" s="16" t="s">
        <v>356</v>
      </c>
      <c r="D38" s="12">
        <v>0</v>
      </c>
      <c r="E38" s="12">
        <v>0</v>
      </c>
      <c r="F38" s="12">
        <v>0</v>
      </c>
      <c r="G38" s="15"/>
      <c r="H38" s="15"/>
      <c r="I38" s="15"/>
      <c r="J38" s="15"/>
      <c r="K38" s="15"/>
      <c r="L38" s="22" t="s">
        <v>403</v>
      </c>
      <c r="M38" s="22">
        <f>IFERROR(VLOOKUP("Convencional1RuralNão se aplicaRURALB2",Descontos!B1:U88,VLOOKUP("Convencional1RuralNão se aplicaRURALB2",Descontos!B1:U88,20,FALSE)+12,FALSE),100)</f>
        <v>0.06</v>
      </c>
      <c r="N38" s="15" t="s">
        <v>460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2" customHeight="1" x14ac:dyDescent="0.2">
      <c r="A39" s="95"/>
      <c r="B39" s="95"/>
      <c r="C39" s="16" t="s">
        <v>357</v>
      </c>
      <c r="D39" s="12">
        <v>0</v>
      </c>
      <c r="E39" s="12"/>
      <c r="F39" s="12">
        <f>IF((+$D$11+$D$12+$D$16+$D$17+$D$39)&lt;&gt;0,$M$19*$D$39/(+$D$11+$D$12+$D$16+$D$17+$D$39),0)</f>
        <v>0</v>
      </c>
      <c r="G39" s="15"/>
      <c r="H39" s="15"/>
      <c r="I39" s="15"/>
      <c r="J39" s="15"/>
      <c r="K39" s="15"/>
      <c r="L39" s="22" t="s">
        <v>404</v>
      </c>
      <c r="M39" s="22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5">
        <v>0.3</v>
      </c>
      <c r="O39" s="15" t="s">
        <v>478</v>
      </c>
      <c r="P39" s="15" t="s">
        <v>479</v>
      </c>
      <c r="Q39" s="15" t="s">
        <v>480</v>
      </c>
      <c r="R39" s="15" t="s">
        <v>481</v>
      </c>
      <c r="S39" s="15" t="s">
        <v>1</v>
      </c>
      <c r="T39" s="15" t="s">
        <v>482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2" customHeight="1" x14ac:dyDescent="0.25">
      <c r="A40" s="95"/>
      <c r="B40" s="95"/>
      <c r="C40" s="16" t="s">
        <v>358</v>
      </c>
      <c r="D40" s="12"/>
      <c r="E40" s="12"/>
      <c r="F40" s="12"/>
      <c r="G40" s="15"/>
      <c r="H40" s="15"/>
      <c r="I40" s="15"/>
      <c r="J40" s="15"/>
      <c r="K40" s="15"/>
      <c r="L40" s="22" t="s">
        <v>405</v>
      </c>
      <c r="M40" s="22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5">
        <v>0.4</v>
      </c>
      <c r="O40" s="33"/>
      <c r="P40" s="33"/>
      <c r="Q40" s="33"/>
      <c r="R40" s="33"/>
      <c r="S40" s="33"/>
      <c r="T40" s="33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2" customHeight="1" x14ac:dyDescent="0.25">
      <c r="A41" s="95"/>
      <c r="B41" s="94"/>
      <c r="C41" s="16" t="s">
        <v>331</v>
      </c>
      <c r="D41" s="12">
        <f>SUM(D$38:D40)</f>
        <v>0</v>
      </c>
      <c r="E41" s="12">
        <f>SUM(E$38:E40)</f>
        <v>0</v>
      </c>
      <c r="F41" s="12">
        <f>SUM(F$38:F40)</f>
        <v>0</v>
      </c>
      <c r="G41" s="15"/>
      <c r="H41" s="15"/>
      <c r="I41" s="15"/>
      <c r="J41" s="15"/>
      <c r="K41" s="15"/>
      <c r="L41" s="15"/>
      <c r="M41" s="15"/>
      <c r="N41" s="15"/>
      <c r="O41" s="33"/>
      <c r="P41" s="33"/>
      <c r="Q41" s="33"/>
      <c r="R41" s="33"/>
      <c r="S41" s="33"/>
      <c r="T41" s="33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2" customHeight="1" x14ac:dyDescent="0.25">
      <c r="A42" s="95"/>
      <c r="B42" s="93" t="s">
        <v>342</v>
      </c>
      <c r="C42" s="16" t="s">
        <v>343</v>
      </c>
      <c r="D42" s="12"/>
      <c r="E42" s="12">
        <f>IF($D$47&lt;&gt;0,($D$46/$D$47)* -648775.812060366,0)+0</f>
        <v>-343578.09311346081</v>
      </c>
      <c r="F42" s="12"/>
      <c r="G42" s="15"/>
      <c r="H42" s="15"/>
      <c r="I42" s="15"/>
      <c r="J42" s="15"/>
      <c r="K42" s="15"/>
      <c r="L42" s="15"/>
      <c r="M42" s="15"/>
      <c r="N42" s="15"/>
      <c r="O42" s="33"/>
      <c r="P42" s="33"/>
      <c r="Q42" s="33"/>
      <c r="R42" s="33"/>
      <c r="S42" s="33"/>
      <c r="T42" s="33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2" customHeight="1" x14ac:dyDescent="0.25">
      <c r="A43" s="95"/>
      <c r="B43" s="94"/>
      <c r="C43" s="16" t="s">
        <v>331</v>
      </c>
      <c r="D43" s="12">
        <f>SUM(D$42:D42)</f>
        <v>0</v>
      </c>
      <c r="E43" s="12">
        <f>SUM(E$42:E42)</f>
        <v>-343578.09311346081</v>
      </c>
      <c r="F43" s="12">
        <f>SUM(F$42:F42)</f>
        <v>0</v>
      </c>
      <c r="G43" s="15"/>
      <c r="H43" s="15"/>
      <c r="I43" s="15"/>
      <c r="J43" s="15"/>
      <c r="K43" s="15"/>
      <c r="L43" s="15"/>
      <c r="M43" s="15"/>
      <c r="N43" s="15"/>
      <c r="O43" s="33"/>
      <c r="P43" s="33"/>
      <c r="Q43" s="33"/>
      <c r="R43" s="33"/>
      <c r="S43" s="33"/>
      <c r="T43" s="33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2" customHeight="1" x14ac:dyDescent="0.25">
      <c r="A44" s="95"/>
      <c r="B44" s="93" t="s">
        <v>345</v>
      </c>
      <c r="C44" s="16" t="s">
        <v>359</v>
      </c>
      <c r="D44" s="12">
        <f>$M$14*$M$11</f>
        <v>0</v>
      </c>
      <c r="E44" s="12">
        <f>$M$16*$M$11/$M$12</f>
        <v>0</v>
      </c>
      <c r="F44" s="12">
        <f>$M$17*$M$11/$M$12</f>
        <v>0</v>
      </c>
      <c r="G44" s="15"/>
      <c r="H44" s="15"/>
      <c r="I44" s="15"/>
      <c r="J44" s="15"/>
      <c r="K44" s="15"/>
      <c r="L44" s="15"/>
      <c r="M44" s="15"/>
      <c r="N44" s="15"/>
      <c r="O44" s="33"/>
      <c r="P44" s="33"/>
      <c r="Q44" s="33"/>
      <c r="R44" s="33"/>
      <c r="S44" s="33"/>
      <c r="T44" s="33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2" customHeight="1" x14ac:dyDescent="0.25">
      <c r="A45" s="95"/>
      <c r="B45" s="94"/>
      <c r="C45" s="16" t="s">
        <v>331</v>
      </c>
      <c r="D45" s="12">
        <f>SUM(D$44:D44)</f>
        <v>0</v>
      </c>
      <c r="E45" s="12">
        <f>SUM(E$44:E44)</f>
        <v>0</v>
      </c>
      <c r="F45" s="12">
        <f>SUM(F$44:F44)</f>
        <v>0</v>
      </c>
      <c r="G45" s="15"/>
      <c r="H45" s="15"/>
      <c r="I45" s="15"/>
      <c r="J45" s="15"/>
      <c r="K45" s="15"/>
      <c r="L45" s="15"/>
      <c r="M45" s="15"/>
      <c r="N45" s="15"/>
      <c r="O45" s="33"/>
      <c r="P45" s="33"/>
      <c r="Q45" s="33"/>
      <c r="R45" s="33"/>
      <c r="S45" s="33"/>
      <c r="T45" s="33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2" customHeight="1" x14ac:dyDescent="0.25">
      <c r="A46" s="94"/>
      <c r="B46" s="96" t="s">
        <v>331</v>
      </c>
      <c r="C46" s="97"/>
      <c r="D46" s="12">
        <f>SUMIF(C$30:C45,"SUBTOTAL",D$30:D45)</f>
        <v>13779995.040996935</v>
      </c>
      <c r="E46" s="12">
        <f>SUMIF(C$30:C45,"SUBTOTAL",E$30:E45)</f>
        <v>-230581.04086204682</v>
      </c>
      <c r="F46" s="12">
        <f>SUMIF(C$30:C45,"SUBTOTAL",F$30:F45)</f>
        <v>0</v>
      </c>
      <c r="G46" s="15"/>
      <c r="H46" s="15"/>
      <c r="I46" s="15"/>
      <c r="J46" s="15"/>
      <c r="K46" s="15"/>
      <c r="L46" s="15"/>
      <c r="M46" s="15"/>
      <c r="N46" s="15"/>
      <c r="O46" s="33"/>
      <c r="P46" s="33"/>
      <c r="Q46" s="33"/>
      <c r="R46" s="33"/>
      <c r="S46" s="33"/>
      <c r="T46" s="33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2" customHeight="1" x14ac:dyDescent="0.25">
      <c r="A47" s="96" t="s">
        <v>360</v>
      </c>
      <c r="B47" s="102"/>
      <c r="C47" s="97"/>
      <c r="D47" s="12">
        <f>SUMIF(C$2:C46,"SUBTOTAL",D$2:D46)</f>
        <v>26020656.299405791</v>
      </c>
      <c r="E47" s="12">
        <f>SUMIF(C$2:C46,"SUBTOTAL",E$2:E46)</f>
        <v>-526473.16217149096</v>
      </c>
      <c r="F47" s="12">
        <f>SUMIF(C$2:C46,"SUBTOTAL",F$2:F46)</f>
        <v>0</v>
      </c>
      <c r="G47" s="15"/>
      <c r="H47" s="15">
        <f>E47+D47</f>
        <v>25494183.1372343</v>
      </c>
      <c r="I47" s="15"/>
      <c r="J47" s="15"/>
      <c r="K47" s="15"/>
      <c r="L47" s="15"/>
      <c r="M47" s="15"/>
      <c r="N47" s="15"/>
      <c r="O47" s="33"/>
      <c r="P47" s="33"/>
      <c r="Q47" s="33"/>
      <c r="R47" s="33"/>
      <c r="S47" s="33"/>
      <c r="T47" s="33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2" customHeight="1" x14ac:dyDescent="0.25">
      <c r="A48" s="100" t="s">
        <v>452</v>
      </c>
      <c r="B48" s="101"/>
      <c r="C48" s="101"/>
      <c r="D48" s="26">
        <f ca="1">'TUSD BE'!$AM$53+'TUSD BE'!$AM$57+'TE BE'!$AB$43</f>
        <v>26020656.299405798</v>
      </c>
      <c r="E48" s="26">
        <f ca="1">'TUSD BF'!$AM$53+'TE BF'!$AB$43</f>
        <v>-526473.16217149096</v>
      </c>
      <c r="F48" s="26">
        <f ca="1">'TUSD CVA'!$AM$53+'TE CVA'!$AB$43</f>
        <v>0</v>
      </c>
      <c r="L48" s="62"/>
      <c r="M48" s="22"/>
      <c r="O48" s="33"/>
      <c r="P48" s="33"/>
      <c r="Q48" s="33"/>
      <c r="R48" s="33"/>
      <c r="S48" s="33"/>
      <c r="T48" s="33"/>
    </row>
    <row r="49" spans="1:20" ht="12" customHeight="1" x14ac:dyDescent="0.25">
      <c r="A49" s="100" t="s">
        <v>453</v>
      </c>
      <c r="B49" s="101"/>
      <c r="C49" s="101"/>
      <c r="D49" s="27" t="str">
        <f ca="1">IF(ABS(D48-D47)&gt;1,"ERRO","OK")</f>
        <v>OK</v>
      </c>
      <c r="E49" s="27" t="str">
        <f ca="1">IF(ABS(E48-E47)&gt;1,"ERRO","OK")</f>
        <v>OK</v>
      </c>
      <c r="F49" s="27" t="str">
        <f ca="1">IF(ABS(F48-F47)&gt;1,"ERRO","OK")</f>
        <v>OK</v>
      </c>
      <c r="L49" s="62"/>
      <c r="M49" s="22"/>
      <c r="O49" s="33"/>
      <c r="P49" s="33"/>
      <c r="Q49" s="33"/>
      <c r="R49" s="33"/>
      <c r="S49" s="33"/>
      <c r="T49" s="33"/>
    </row>
    <row r="50" spans="1:20" ht="12" customHeight="1" x14ac:dyDescent="0.25">
      <c r="L50" s="62"/>
      <c r="M50" s="22"/>
      <c r="O50" s="33"/>
      <c r="P50" s="33"/>
      <c r="Q50" s="33"/>
      <c r="R50" s="33"/>
      <c r="S50" s="33"/>
      <c r="T50" s="33"/>
    </row>
    <row r="51" spans="1:20" ht="12" customHeight="1" x14ac:dyDescent="0.25">
      <c r="L51" s="50" t="s">
        <v>406</v>
      </c>
      <c r="M51" s="55">
        <v>0</v>
      </c>
      <c r="O51" s="33"/>
      <c r="P51" s="33"/>
      <c r="Q51" s="33"/>
      <c r="R51" s="33"/>
      <c r="S51" s="33"/>
      <c r="T51" s="33"/>
    </row>
    <row r="52" spans="1:20" ht="12" customHeight="1" x14ac:dyDescent="0.25">
      <c r="O52" s="33"/>
      <c r="P52" s="33"/>
      <c r="Q52" s="33"/>
      <c r="R52" s="33"/>
      <c r="S52" s="33"/>
      <c r="T52" s="33"/>
    </row>
    <row r="53" spans="1:20" ht="12" customHeight="1" x14ac:dyDescent="0.25">
      <c r="O53" s="33"/>
      <c r="P53" s="33"/>
      <c r="Q53" s="33"/>
      <c r="R53" s="33"/>
      <c r="S53" s="33"/>
      <c r="T53" s="33"/>
    </row>
    <row r="54" spans="1:20" ht="12" customHeight="1" x14ac:dyDescent="0.25">
      <c r="O54" s="33"/>
      <c r="P54" s="33"/>
      <c r="Q54" s="33"/>
      <c r="R54" s="33"/>
      <c r="S54" s="33"/>
      <c r="T54" s="33"/>
    </row>
    <row r="55" spans="1:20" ht="12" customHeight="1" x14ac:dyDescent="0.25">
      <c r="O55" s="33"/>
      <c r="P55" s="33"/>
      <c r="Q55" s="33"/>
      <c r="R55" s="33"/>
      <c r="S55" s="33"/>
      <c r="T55" s="33"/>
    </row>
    <row r="56" spans="1:20" ht="12" customHeight="1" x14ac:dyDescent="0.25">
      <c r="O56" s="33"/>
      <c r="P56" s="33"/>
      <c r="Q56" s="33"/>
      <c r="R56" s="33"/>
      <c r="S56" s="33"/>
      <c r="T56" s="33"/>
    </row>
    <row r="57" spans="1:20" ht="12" customHeight="1" x14ac:dyDescent="0.25">
      <c r="O57" s="33"/>
      <c r="P57" s="33"/>
      <c r="Q57" s="33"/>
      <c r="R57" s="33"/>
      <c r="S57" s="33"/>
      <c r="T57" s="33"/>
    </row>
    <row r="58" spans="1:20" ht="12" customHeight="1" x14ac:dyDescent="0.25">
      <c r="O58" s="33"/>
      <c r="P58" s="33"/>
      <c r="Q58" s="33"/>
      <c r="R58" s="33"/>
      <c r="S58" s="33"/>
      <c r="T58" s="33"/>
    </row>
    <row r="59" spans="1:20" ht="12" customHeight="1" x14ac:dyDescent="0.25">
      <c r="O59" s="33"/>
      <c r="P59" s="33"/>
      <c r="Q59" s="33"/>
      <c r="R59" s="33"/>
      <c r="S59" s="33"/>
      <c r="T59" s="33"/>
    </row>
    <row r="60" spans="1:20" ht="12" customHeight="1" x14ac:dyDescent="0.25">
      <c r="O60" s="33"/>
      <c r="P60" s="33"/>
      <c r="Q60" s="33"/>
      <c r="R60" s="33"/>
      <c r="S60" s="33"/>
      <c r="T60" s="33"/>
    </row>
    <row r="61" spans="1:20" ht="12" customHeight="1" x14ac:dyDescent="0.25">
      <c r="O61" s="33"/>
      <c r="P61" s="33"/>
      <c r="Q61" s="33"/>
      <c r="R61" s="33"/>
      <c r="S61" s="33"/>
      <c r="T61" s="33"/>
    </row>
    <row r="62" spans="1:20" ht="12" customHeight="1" x14ac:dyDescent="0.25">
      <c r="O62" s="33"/>
      <c r="P62" s="33"/>
      <c r="Q62" s="33"/>
      <c r="R62" s="33"/>
      <c r="S62" s="33"/>
      <c r="T62" s="33"/>
    </row>
    <row r="63" spans="1:20" ht="12" customHeight="1" x14ac:dyDescent="0.25">
      <c r="O63" s="33"/>
      <c r="P63" s="33"/>
      <c r="Q63" s="33"/>
      <c r="R63" s="33"/>
      <c r="S63" s="33"/>
      <c r="T63" s="33"/>
    </row>
    <row r="64" spans="1:20" ht="12" customHeight="1" x14ac:dyDescent="0.25">
      <c r="O64" s="33"/>
      <c r="P64" s="33"/>
      <c r="Q64" s="33"/>
      <c r="R64" s="33"/>
      <c r="S64" s="33"/>
      <c r="T64" s="33"/>
    </row>
    <row r="65" spans="15:20" ht="12" customHeight="1" x14ac:dyDescent="0.25">
      <c r="O65" s="33"/>
      <c r="P65" s="33"/>
      <c r="Q65" s="33"/>
      <c r="R65" s="33"/>
      <c r="S65" s="33"/>
      <c r="T65" s="33"/>
    </row>
    <row r="66" spans="15:20" ht="12" customHeight="1" x14ac:dyDescent="0.25">
      <c r="O66" s="33"/>
      <c r="P66" s="33"/>
      <c r="Q66" s="33"/>
      <c r="R66" s="33"/>
      <c r="S66" s="33"/>
      <c r="T66" s="33"/>
    </row>
    <row r="67" spans="15:20" ht="12" customHeight="1" x14ac:dyDescent="0.25">
      <c r="O67" s="33"/>
      <c r="P67" s="33"/>
      <c r="Q67" s="33"/>
      <c r="R67" s="33"/>
      <c r="S67" s="33"/>
      <c r="T67" s="33"/>
    </row>
    <row r="68" spans="15:20" ht="12" customHeight="1" x14ac:dyDescent="0.25">
      <c r="O68" s="33"/>
      <c r="P68" s="33"/>
      <c r="Q68" s="33"/>
      <c r="R68" s="33"/>
      <c r="S68" s="33"/>
      <c r="T68" s="33"/>
    </row>
    <row r="69" spans="15:20" ht="12" customHeight="1" x14ac:dyDescent="0.25">
      <c r="O69" s="33"/>
      <c r="P69" s="33"/>
      <c r="Q69" s="33"/>
      <c r="R69" s="33"/>
      <c r="S69" s="33"/>
      <c r="T69" s="33"/>
    </row>
    <row r="70" spans="15:20" ht="12" customHeight="1" x14ac:dyDescent="0.25">
      <c r="O70" s="33"/>
      <c r="P70" s="33"/>
      <c r="Q70" s="33"/>
      <c r="R70" s="33"/>
      <c r="S70" s="33"/>
      <c r="T70" s="33"/>
    </row>
    <row r="71" spans="15:20" ht="12" customHeight="1" x14ac:dyDescent="0.25">
      <c r="O71" s="33"/>
      <c r="P71" s="33"/>
      <c r="Q71" s="33"/>
      <c r="R71" s="33"/>
      <c r="S71" s="33"/>
      <c r="T71" s="33"/>
    </row>
    <row r="72" spans="15:20" ht="12" customHeight="1" x14ac:dyDescent="0.25">
      <c r="O72" s="33"/>
      <c r="P72" s="33"/>
      <c r="Q72" s="33"/>
      <c r="R72" s="33"/>
      <c r="S72" s="33"/>
      <c r="T72" s="33"/>
    </row>
    <row r="73" spans="15:20" ht="12" customHeight="1" x14ac:dyDescent="0.25">
      <c r="O73" s="33"/>
      <c r="P73" s="33"/>
      <c r="Q73" s="33"/>
      <c r="R73" s="33"/>
      <c r="S73" s="33"/>
      <c r="T73" s="33"/>
    </row>
    <row r="74" spans="15:20" ht="12" customHeight="1" x14ac:dyDescent="0.25">
      <c r="O74" s="33"/>
      <c r="P74" s="33"/>
      <c r="Q74" s="33"/>
      <c r="R74" s="33"/>
      <c r="S74" s="33"/>
      <c r="T74" s="33"/>
    </row>
    <row r="75" spans="15:20" ht="12" customHeight="1" x14ac:dyDescent="0.25">
      <c r="O75" s="33"/>
      <c r="P75" s="33"/>
      <c r="Q75" s="33"/>
      <c r="R75" s="33"/>
      <c r="S75" s="33"/>
      <c r="T75" s="33"/>
    </row>
    <row r="76" spans="15:20" ht="12" customHeight="1" x14ac:dyDescent="0.25">
      <c r="O76" s="33"/>
      <c r="P76" s="33"/>
      <c r="Q76" s="33"/>
      <c r="R76" s="33"/>
      <c r="S76" s="33"/>
      <c r="T76" s="33"/>
    </row>
    <row r="77" spans="15:20" ht="12" customHeight="1" x14ac:dyDescent="0.25">
      <c r="O77" s="33"/>
      <c r="P77" s="33"/>
      <c r="Q77" s="33"/>
      <c r="R77" s="33"/>
      <c r="S77" s="33"/>
      <c r="T77" s="33"/>
    </row>
    <row r="78" spans="15:20" ht="12" customHeight="1" x14ac:dyDescent="0.25">
      <c r="O78" s="33"/>
      <c r="P78" s="33"/>
      <c r="Q78" s="33"/>
      <c r="R78" s="33"/>
      <c r="S78" s="33"/>
      <c r="T78" s="33"/>
    </row>
    <row r="79" spans="15:20" ht="12" customHeight="1" x14ac:dyDescent="0.25">
      <c r="O79" s="33"/>
      <c r="P79" s="33"/>
      <c r="Q79" s="33"/>
      <c r="R79" s="33"/>
      <c r="S79" s="33"/>
      <c r="T79" s="33"/>
    </row>
    <row r="80" spans="15:20" ht="12" customHeight="1" x14ac:dyDescent="0.25">
      <c r="O80" s="33"/>
      <c r="P80" s="33"/>
      <c r="Q80" s="33"/>
      <c r="R80" s="33"/>
      <c r="S80" s="33"/>
      <c r="T80" s="33"/>
    </row>
    <row r="81" spans="15:20" ht="12" customHeight="1" x14ac:dyDescent="0.25">
      <c r="O81" s="33"/>
      <c r="P81" s="33"/>
      <c r="Q81" s="33"/>
      <c r="R81" s="33"/>
      <c r="S81" s="33"/>
      <c r="T81" s="33"/>
    </row>
    <row r="82" spans="15:20" ht="12" customHeight="1" x14ac:dyDescent="0.25">
      <c r="O82" s="33"/>
      <c r="P82" s="33"/>
      <c r="Q82" s="33"/>
      <c r="R82" s="33"/>
      <c r="S82" s="33"/>
      <c r="T82" s="33"/>
    </row>
    <row r="83" spans="15:20" ht="12" customHeight="1" x14ac:dyDescent="0.25">
      <c r="O83" s="33"/>
      <c r="P83" s="33"/>
      <c r="Q83" s="33"/>
      <c r="R83" s="33"/>
      <c r="S83" s="33"/>
      <c r="T83" s="33"/>
    </row>
    <row r="84" spans="15:20" ht="12" customHeight="1" x14ac:dyDescent="0.25">
      <c r="O84" s="33"/>
      <c r="P84" s="33"/>
      <c r="Q84" s="33"/>
      <c r="R84" s="33"/>
      <c r="S84" s="33"/>
      <c r="T84" s="33"/>
    </row>
    <row r="85" spans="15:20" ht="12" customHeight="1" x14ac:dyDescent="0.25">
      <c r="O85" s="33"/>
      <c r="P85" s="33"/>
      <c r="Q85" s="33"/>
      <c r="R85" s="33"/>
      <c r="S85" s="33"/>
      <c r="T85" s="33"/>
    </row>
    <row r="86" spans="15:20" ht="12" customHeight="1" x14ac:dyDescent="0.25">
      <c r="O86" s="33"/>
      <c r="P86" s="33"/>
      <c r="Q86" s="33"/>
      <c r="R86" s="33"/>
      <c r="S86" s="33"/>
      <c r="T86" s="33"/>
    </row>
    <row r="87" spans="15:20" ht="12" customHeight="1" x14ac:dyDescent="0.25">
      <c r="O87" s="33"/>
      <c r="P87" s="33"/>
      <c r="Q87" s="33"/>
      <c r="R87" s="33"/>
      <c r="S87" s="33"/>
      <c r="T87" s="33"/>
    </row>
    <row r="88" spans="15:20" ht="12" customHeight="1" x14ac:dyDescent="0.25">
      <c r="O88" s="33"/>
      <c r="P88" s="33"/>
      <c r="Q88" s="33"/>
      <c r="R88" s="33"/>
      <c r="S88" s="33"/>
      <c r="T88" s="33"/>
    </row>
    <row r="89" spans="15:20" ht="12" customHeight="1" x14ac:dyDescent="0.25">
      <c r="O89" s="33"/>
      <c r="P89" s="33"/>
      <c r="Q89" s="33"/>
      <c r="R89" s="33"/>
      <c r="S89" s="33"/>
      <c r="T89" s="33"/>
    </row>
    <row r="90" spans="15:20" ht="12" customHeight="1" x14ac:dyDescent="0.25">
      <c r="O90" s="33"/>
      <c r="P90" s="33"/>
      <c r="Q90" s="33"/>
      <c r="R90" s="33"/>
      <c r="S90" s="33"/>
      <c r="T90" s="33"/>
    </row>
    <row r="91" spans="15:20" ht="12" customHeight="1" x14ac:dyDescent="0.25">
      <c r="O91" s="33"/>
      <c r="P91" s="33"/>
      <c r="Q91" s="33"/>
      <c r="R91" s="33"/>
      <c r="S91" s="33"/>
      <c r="T91" s="33"/>
    </row>
    <row r="92" spans="15:20" ht="12" customHeight="1" x14ac:dyDescent="0.25">
      <c r="O92" s="33"/>
      <c r="P92" s="33"/>
      <c r="Q92" s="33"/>
      <c r="R92" s="33"/>
      <c r="S92" s="33"/>
      <c r="T92" s="33"/>
    </row>
    <row r="93" spans="15:20" ht="12" customHeight="1" x14ac:dyDescent="0.25">
      <c r="O93" s="33"/>
      <c r="P93" s="33"/>
      <c r="Q93" s="33"/>
      <c r="R93" s="33"/>
      <c r="S93" s="33"/>
      <c r="T93" s="33"/>
    </row>
    <row r="94" spans="15:20" ht="12" customHeight="1" x14ac:dyDescent="0.25">
      <c r="O94" s="33"/>
      <c r="P94" s="33"/>
      <c r="Q94" s="33"/>
      <c r="R94" s="33"/>
      <c r="S94" s="33"/>
      <c r="T94" s="33"/>
    </row>
    <row r="95" spans="15:20" ht="12" customHeight="1" x14ac:dyDescent="0.25">
      <c r="O95" s="33"/>
      <c r="P95" s="33"/>
      <c r="Q95" s="33"/>
      <c r="R95" s="33"/>
      <c r="S95" s="33"/>
      <c r="T95" s="33"/>
    </row>
    <row r="96" spans="15:20" ht="12" customHeight="1" x14ac:dyDescent="0.25">
      <c r="O96" s="33"/>
      <c r="P96" s="33"/>
      <c r="Q96" s="33"/>
      <c r="R96" s="33"/>
      <c r="S96" s="33"/>
      <c r="T96" s="33"/>
    </row>
    <row r="97" spans="15:30" ht="12" customHeight="1" x14ac:dyDescent="0.25">
      <c r="O97" s="33"/>
      <c r="P97" s="33"/>
      <c r="Q97" s="33"/>
      <c r="R97" s="33"/>
      <c r="S97" s="33"/>
      <c r="T97" s="33"/>
    </row>
    <row r="98" spans="15:30" ht="12" customHeight="1" x14ac:dyDescent="0.25">
      <c r="O98" s="33"/>
      <c r="P98" s="33"/>
      <c r="Q98" s="33"/>
      <c r="R98" s="33"/>
      <c r="S98" s="33"/>
      <c r="T98" s="33"/>
    </row>
    <row r="99" spans="15:30" ht="12" customHeight="1" x14ac:dyDescent="0.25">
      <c r="O99" s="32"/>
      <c r="P99" s="32"/>
      <c r="Q99" s="32"/>
      <c r="R99" s="32"/>
      <c r="S99" s="32"/>
      <c r="T99" s="32"/>
    </row>
    <row r="100" spans="15:30" ht="12" customHeight="1" x14ac:dyDescent="0.25"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spans="15:30" ht="12" customHeight="1" x14ac:dyDescent="0.25">
      <c r="O101" s="33" t="s">
        <v>478</v>
      </c>
      <c r="P101" s="33" t="s">
        <v>483</v>
      </c>
      <c r="Q101" s="33" t="s">
        <v>484</v>
      </c>
      <c r="R101" s="33" t="s">
        <v>485</v>
      </c>
      <c r="S101" s="33" t="s">
        <v>486</v>
      </c>
      <c r="T101" s="33" t="s">
        <v>487</v>
      </c>
      <c r="U101" s="33" t="s">
        <v>488</v>
      </c>
      <c r="V101" s="33" t="s">
        <v>489</v>
      </c>
      <c r="W101" s="33"/>
      <c r="X101" s="33"/>
      <c r="Y101" s="33"/>
      <c r="Z101" s="33"/>
      <c r="AA101" s="33"/>
      <c r="AB101" s="33"/>
      <c r="AC101" s="33"/>
      <c r="AD101" s="33"/>
    </row>
    <row r="102" spans="15:30" ht="12" customHeight="1" x14ac:dyDescent="0.25">
      <c r="O102" s="33" t="s">
        <v>32</v>
      </c>
      <c r="P102" s="33" t="s">
        <v>34</v>
      </c>
      <c r="Q102" s="33" t="s">
        <v>33</v>
      </c>
      <c r="R102" s="33" t="s">
        <v>40</v>
      </c>
      <c r="S102" s="33" t="s">
        <v>25</v>
      </c>
      <c r="T102" s="33" t="s">
        <v>490</v>
      </c>
      <c r="U102" s="33">
        <v>4</v>
      </c>
      <c r="V102" s="33">
        <v>0.1</v>
      </c>
      <c r="W102" s="33">
        <v>0.08</v>
      </c>
      <c r="X102" s="33">
        <v>0.06</v>
      </c>
      <c r="Y102" s="33">
        <v>0.04</v>
      </c>
      <c r="Z102" s="33">
        <v>0.02</v>
      </c>
      <c r="AA102" s="33">
        <v>0</v>
      </c>
      <c r="AB102" s="33"/>
      <c r="AC102" s="33"/>
      <c r="AD102" s="33"/>
    </row>
    <row r="103" spans="15:30" ht="12" customHeight="1" x14ac:dyDescent="0.25">
      <c r="O103" s="33" t="s">
        <v>32</v>
      </c>
      <c r="P103" s="33" t="s">
        <v>34</v>
      </c>
      <c r="Q103" s="33" t="s">
        <v>33</v>
      </c>
      <c r="R103" s="33" t="s">
        <v>45</v>
      </c>
      <c r="S103" s="33" t="s">
        <v>46</v>
      </c>
      <c r="T103" s="33" t="s">
        <v>491</v>
      </c>
      <c r="U103" s="33">
        <v>4</v>
      </c>
      <c r="V103" s="33">
        <v>0.15</v>
      </c>
      <c r="W103" s="33">
        <v>0.12</v>
      </c>
      <c r="X103" s="33">
        <v>0.09</v>
      </c>
      <c r="Y103" s="33">
        <v>0.06</v>
      </c>
      <c r="Z103" s="33">
        <v>0.03</v>
      </c>
      <c r="AA103" s="33">
        <v>0</v>
      </c>
      <c r="AB103" s="33"/>
      <c r="AC103" s="33"/>
      <c r="AD103" s="33"/>
    </row>
    <row r="104" spans="15:30" ht="12" customHeight="1" x14ac:dyDescent="0.25">
      <c r="O104" s="33" t="s">
        <v>32</v>
      </c>
      <c r="P104" s="33" t="s">
        <v>492</v>
      </c>
      <c r="Q104" s="33" t="s">
        <v>39</v>
      </c>
      <c r="R104" s="33" t="s">
        <v>40</v>
      </c>
      <c r="S104" s="33" t="s">
        <v>80</v>
      </c>
      <c r="T104" s="33" t="s">
        <v>491</v>
      </c>
      <c r="U104" s="33">
        <v>4</v>
      </c>
      <c r="V104" s="33">
        <v>0.3</v>
      </c>
      <c r="W104" s="33">
        <v>0.24</v>
      </c>
      <c r="X104" s="33">
        <v>0.18</v>
      </c>
      <c r="Y104" s="33">
        <v>0.12</v>
      </c>
      <c r="Z104" s="33">
        <v>0.06</v>
      </c>
      <c r="AA104" s="33">
        <v>0</v>
      </c>
      <c r="AB104" s="33"/>
      <c r="AC104" s="33"/>
      <c r="AD104" s="33"/>
    </row>
    <row r="105" spans="15:30" ht="12" customHeight="1" x14ac:dyDescent="0.25">
      <c r="O105" s="33" t="s">
        <v>32</v>
      </c>
      <c r="P105" s="33" t="s">
        <v>77</v>
      </c>
      <c r="Q105" s="33" t="s">
        <v>39</v>
      </c>
      <c r="R105" s="33" t="s">
        <v>40</v>
      </c>
      <c r="S105" s="33" t="s">
        <v>25</v>
      </c>
      <c r="T105" s="33" t="s">
        <v>40</v>
      </c>
      <c r="U105" s="33">
        <v>4</v>
      </c>
      <c r="V105" s="33">
        <v>0.3</v>
      </c>
      <c r="W105" s="33">
        <v>0.24</v>
      </c>
      <c r="X105" s="33">
        <v>0.18</v>
      </c>
      <c r="Y105" s="33">
        <v>0.12</v>
      </c>
      <c r="Z105" s="33">
        <v>0.06</v>
      </c>
      <c r="AA105" s="33">
        <v>0</v>
      </c>
      <c r="AB105" s="33"/>
      <c r="AC105" s="33"/>
      <c r="AD105" s="33"/>
    </row>
    <row r="106" spans="15:30" ht="12" customHeight="1" x14ac:dyDescent="0.25">
      <c r="O106" s="33" t="s">
        <v>32</v>
      </c>
      <c r="P106" s="33" t="s">
        <v>492</v>
      </c>
      <c r="Q106" s="33" t="s">
        <v>39</v>
      </c>
      <c r="R106" s="33" t="s">
        <v>40</v>
      </c>
      <c r="S106" s="33" t="s">
        <v>81</v>
      </c>
      <c r="T106" s="33" t="s">
        <v>491</v>
      </c>
      <c r="U106" s="33">
        <v>4</v>
      </c>
      <c r="V106" s="33">
        <v>0.4</v>
      </c>
      <c r="W106" s="33">
        <v>0.32</v>
      </c>
      <c r="X106" s="33">
        <v>0.24</v>
      </c>
      <c r="Y106" s="33">
        <v>0.16</v>
      </c>
      <c r="Z106" s="33">
        <v>0.08</v>
      </c>
      <c r="AA106" s="33">
        <v>0</v>
      </c>
      <c r="AB106" s="33"/>
      <c r="AC106" s="33"/>
      <c r="AD106" s="33"/>
    </row>
    <row r="107" spans="15:30" ht="12" customHeight="1" x14ac:dyDescent="0.25">
      <c r="O107" s="33" t="s">
        <v>32</v>
      </c>
      <c r="P107" s="33" t="s">
        <v>77</v>
      </c>
      <c r="Q107" s="33" t="s">
        <v>31</v>
      </c>
      <c r="R107" s="33" t="s">
        <v>45</v>
      </c>
      <c r="S107" s="33" t="s">
        <v>46</v>
      </c>
      <c r="T107" s="33" t="s">
        <v>491</v>
      </c>
      <c r="U107" s="33">
        <v>4</v>
      </c>
      <c r="V107" s="33">
        <v>0.15</v>
      </c>
      <c r="W107" s="33">
        <v>0.12</v>
      </c>
      <c r="X107" s="33">
        <v>0.09</v>
      </c>
      <c r="Y107" s="33">
        <v>0.06</v>
      </c>
      <c r="Z107" s="33">
        <v>0.03</v>
      </c>
      <c r="AA107" s="33">
        <v>0</v>
      </c>
      <c r="AB107" s="33"/>
      <c r="AC107" s="33"/>
      <c r="AD107" s="33"/>
    </row>
    <row r="108" spans="15:30" ht="12" customHeight="1" x14ac:dyDescent="0.25">
      <c r="O108" s="33" t="s">
        <v>32</v>
      </c>
      <c r="P108" s="33" t="s">
        <v>23</v>
      </c>
      <c r="Q108" s="33" t="s">
        <v>33</v>
      </c>
      <c r="R108" s="33" t="s">
        <v>40</v>
      </c>
      <c r="S108" s="33" t="s">
        <v>25</v>
      </c>
      <c r="T108" s="33" t="s">
        <v>490</v>
      </c>
      <c r="U108" s="33">
        <v>4</v>
      </c>
      <c r="V108" s="33">
        <v>0.1</v>
      </c>
      <c r="W108" s="33">
        <v>0.08</v>
      </c>
      <c r="X108" s="33">
        <v>0.06</v>
      </c>
      <c r="Y108" s="33">
        <v>0.04</v>
      </c>
      <c r="Z108" s="33">
        <v>0.02</v>
      </c>
      <c r="AA108" s="33">
        <v>0</v>
      </c>
      <c r="AB108" s="33"/>
      <c r="AC108" s="33"/>
      <c r="AD108" s="33"/>
    </row>
    <row r="109" spans="15:30" ht="12" customHeight="1" x14ac:dyDescent="0.25">
      <c r="O109" s="33" t="s">
        <v>32</v>
      </c>
      <c r="P109" s="33" t="s">
        <v>493</v>
      </c>
      <c r="Q109" s="33" t="s">
        <v>33</v>
      </c>
      <c r="R109" s="33" t="s">
        <v>45</v>
      </c>
      <c r="S109" s="33" t="s">
        <v>46</v>
      </c>
      <c r="T109" s="33" t="s">
        <v>491</v>
      </c>
      <c r="U109" s="33">
        <v>4</v>
      </c>
      <c r="V109" s="33">
        <v>0.15</v>
      </c>
      <c r="W109" s="33">
        <v>0.12</v>
      </c>
      <c r="X109" s="33">
        <v>0.09</v>
      </c>
      <c r="Y109" s="33">
        <v>0.06</v>
      </c>
      <c r="Z109" s="33">
        <v>0.03</v>
      </c>
      <c r="AA109" s="33">
        <v>0</v>
      </c>
      <c r="AB109" s="33"/>
      <c r="AC109" s="33"/>
      <c r="AD109" s="33"/>
    </row>
    <row r="110" spans="15:30" ht="12" customHeight="1" x14ac:dyDescent="0.25">
      <c r="O110" s="33" t="s">
        <v>32</v>
      </c>
      <c r="P110" s="33" t="s">
        <v>23</v>
      </c>
      <c r="Q110" s="33" t="s">
        <v>39</v>
      </c>
      <c r="R110" s="33" t="s">
        <v>40</v>
      </c>
      <c r="S110" s="33" t="s">
        <v>80</v>
      </c>
      <c r="T110" s="33" t="s">
        <v>491</v>
      </c>
      <c r="U110" s="33">
        <v>4</v>
      </c>
      <c r="V110" s="33">
        <v>0.3</v>
      </c>
      <c r="W110" s="33">
        <v>0.24</v>
      </c>
      <c r="X110" s="33">
        <v>0.18</v>
      </c>
      <c r="Y110" s="33">
        <v>0.12</v>
      </c>
      <c r="Z110" s="33">
        <v>0.06</v>
      </c>
      <c r="AA110" s="33">
        <v>0</v>
      </c>
      <c r="AB110" s="33"/>
      <c r="AC110" s="33"/>
      <c r="AD110" s="33"/>
    </row>
    <row r="111" spans="15:30" ht="12" customHeight="1" x14ac:dyDescent="0.25">
      <c r="O111" s="33" t="s">
        <v>32</v>
      </c>
      <c r="P111" s="33" t="s">
        <v>23</v>
      </c>
      <c r="Q111" s="33" t="s">
        <v>39</v>
      </c>
      <c r="R111" s="33" t="s">
        <v>40</v>
      </c>
      <c r="S111" s="33" t="s">
        <v>25</v>
      </c>
      <c r="T111" s="33" t="s">
        <v>40</v>
      </c>
      <c r="U111" s="33">
        <v>4</v>
      </c>
      <c r="V111" s="33">
        <v>0.3</v>
      </c>
      <c r="W111" s="33">
        <v>0.24</v>
      </c>
      <c r="X111" s="33">
        <v>0.18</v>
      </c>
      <c r="Y111" s="33">
        <v>0.12</v>
      </c>
      <c r="Z111" s="33">
        <v>0.06</v>
      </c>
      <c r="AA111" s="33">
        <v>0</v>
      </c>
      <c r="AB111" s="33"/>
      <c r="AC111" s="33"/>
      <c r="AD111" s="33"/>
    </row>
    <row r="112" spans="15:30" ht="12" customHeight="1" x14ac:dyDescent="0.25">
      <c r="O112" s="33" t="s">
        <v>32</v>
      </c>
      <c r="P112" s="33" t="s">
        <v>23</v>
      </c>
      <c r="Q112" s="33" t="s">
        <v>39</v>
      </c>
      <c r="R112" s="33" t="s">
        <v>40</v>
      </c>
      <c r="S112" s="33" t="s">
        <v>81</v>
      </c>
      <c r="T112" s="33" t="s">
        <v>491</v>
      </c>
      <c r="U112" s="33">
        <v>4</v>
      </c>
      <c r="V112" s="33">
        <v>0.4</v>
      </c>
      <c r="W112" s="33">
        <v>0.32</v>
      </c>
      <c r="X112" s="33">
        <v>0.24</v>
      </c>
      <c r="Y112" s="33">
        <v>0.16</v>
      </c>
      <c r="Z112" s="33">
        <v>0.08</v>
      </c>
      <c r="AA112" s="33">
        <v>0</v>
      </c>
      <c r="AB112" s="33"/>
      <c r="AC112" s="33"/>
      <c r="AD112" s="33"/>
    </row>
    <row r="113" spans="15:30" ht="12" customHeight="1" x14ac:dyDescent="0.25">
      <c r="O113" s="33" t="s">
        <v>32</v>
      </c>
      <c r="P113" s="33" t="s">
        <v>23</v>
      </c>
      <c r="Q113" s="33" t="s">
        <v>31</v>
      </c>
      <c r="R113" s="33" t="s">
        <v>45</v>
      </c>
      <c r="S113" s="33" t="s">
        <v>46</v>
      </c>
      <c r="T113" s="33" t="s">
        <v>491</v>
      </c>
      <c r="U113" s="33">
        <v>4</v>
      </c>
      <c r="V113" s="33">
        <v>0.15</v>
      </c>
      <c r="W113" s="33">
        <v>0.12</v>
      </c>
      <c r="X113" s="33">
        <v>0.09</v>
      </c>
      <c r="Y113" s="33">
        <v>0.06</v>
      </c>
      <c r="Z113" s="33">
        <v>0.03</v>
      </c>
      <c r="AA113" s="33">
        <v>0</v>
      </c>
      <c r="AB113" s="33"/>
      <c r="AC113" s="33"/>
      <c r="AD113" s="33"/>
    </row>
    <row r="114" spans="15:30" ht="12" customHeight="1" x14ac:dyDescent="0.25">
      <c r="O114" s="33" t="s">
        <v>32</v>
      </c>
      <c r="P114" s="33" t="s">
        <v>37</v>
      </c>
      <c r="Q114" s="33" t="s">
        <v>33</v>
      </c>
      <c r="R114" s="33" t="s">
        <v>40</v>
      </c>
      <c r="S114" s="33" t="s">
        <v>25</v>
      </c>
      <c r="T114" s="33" t="s">
        <v>490</v>
      </c>
      <c r="U114" s="33">
        <v>4</v>
      </c>
      <c r="V114" s="33">
        <v>0.1</v>
      </c>
      <c r="W114" s="33">
        <v>0.08</v>
      </c>
      <c r="X114" s="33">
        <v>0.06</v>
      </c>
      <c r="Y114" s="33">
        <v>0.04</v>
      </c>
      <c r="Z114" s="33">
        <v>0.02</v>
      </c>
      <c r="AA114" s="33">
        <v>0</v>
      </c>
      <c r="AB114" s="33"/>
      <c r="AC114" s="33"/>
      <c r="AD114" s="33"/>
    </row>
    <row r="115" spans="15:30" ht="12" customHeight="1" x14ac:dyDescent="0.25">
      <c r="O115" s="33" t="s">
        <v>32</v>
      </c>
      <c r="P115" s="33" t="s">
        <v>37</v>
      </c>
      <c r="Q115" s="33" t="s">
        <v>33</v>
      </c>
      <c r="R115" s="33" t="s">
        <v>45</v>
      </c>
      <c r="S115" s="33" t="s">
        <v>46</v>
      </c>
      <c r="T115" s="33" t="s">
        <v>491</v>
      </c>
      <c r="U115" s="33">
        <v>4</v>
      </c>
      <c r="V115" s="33">
        <v>0.15</v>
      </c>
      <c r="W115" s="33">
        <v>0.12</v>
      </c>
      <c r="X115" s="33">
        <v>0.09</v>
      </c>
      <c r="Y115" s="33">
        <v>0.06</v>
      </c>
      <c r="Z115" s="33">
        <v>0.03</v>
      </c>
      <c r="AA115" s="33">
        <v>0</v>
      </c>
      <c r="AB115" s="33"/>
      <c r="AC115" s="33"/>
      <c r="AD115" s="33"/>
    </row>
    <row r="116" spans="15:30" ht="12" customHeight="1" x14ac:dyDescent="0.25"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 spans="15:30" ht="12" customHeight="1" x14ac:dyDescent="0.25"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 spans="15:30" ht="12" customHeight="1" x14ac:dyDescent="0.25"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spans="15:30" ht="12" customHeight="1" x14ac:dyDescent="0.25"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 spans="15:30" ht="12" customHeight="1" x14ac:dyDescent="0.25"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 spans="15:30" ht="12" customHeight="1" x14ac:dyDescent="0.25"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 spans="15:30" ht="12" customHeight="1" x14ac:dyDescent="0.25"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spans="15:30" ht="12" customHeight="1" x14ac:dyDescent="0.25"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spans="15:30" ht="12" customHeight="1" x14ac:dyDescent="0.25"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spans="15:30" ht="12" customHeight="1" x14ac:dyDescent="0.25"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spans="15:30" ht="12" customHeight="1" x14ac:dyDescent="0.25"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spans="15:30" ht="12" customHeight="1" x14ac:dyDescent="0.25"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 spans="15:30" ht="12" customHeight="1" x14ac:dyDescent="0.25"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15:30" ht="12" customHeight="1" x14ac:dyDescent="0.25"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spans="15:30" ht="12" customHeight="1" x14ac:dyDescent="0.25"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spans="15:30" ht="12" customHeight="1" x14ac:dyDescent="0.25"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 spans="15:30" ht="12" customHeight="1" x14ac:dyDescent="0.25"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15:30" ht="12" customHeight="1" x14ac:dyDescent="0.25"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spans="15:30" ht="12" customHeight="1" x14ac:dyDescent="0.25"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spans="15:30" ht="12" customHeight="1" x14ac:dyDescent="0.25"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 spans="15:30" ht="12" customHeight="1" x14ac:dyDescent="0.25"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 spans="15:30" ht="12" customHeight="1" x14ac:dyDescent="0.25"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 spans="15:30" ht="12" customHeight="1" x14ac:dyDescent="0.25"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spans="15:30" ht="12" customHeight="1" x14ac:dyDescent="0.25"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spans="15:30" ht="12" customHeight="1" x14ac:dyDescent="0.25"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spans="15:30" ht="12" customHeight="1" x14ac:dyDescent="0.25"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 spans="15:30" ht="12" customHeight="1" x14ac:dyDescent="0.25"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 spans="15:30" ht="12" customHeight="1" x14ac:dyDescent="0.25"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 spans="15:30" ht="12" customHeight="1" x14ac:dyDescent="0.25"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spans="15:30" ht="12" customHeight="1" x14ac:dyDescent="0.25"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spans="15:30" ht="12" customHeight="1" x14ac:dyDescent="0.25"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spans="15:30" ht="12" customHeight="1" x14ac:dyDescent="0.25"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 spans="15:30" ht="12" customHeight="1" x14ac:dyDescent="0.25"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 spans="15:30" ht="12" customHeight="1" x14ac:dyDescent="0.25"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 spans="15:30" ht="12" customHeight="1" x14ac:dyDescent="0.25"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 spans="15:30" ht="12" customHeight="1" x14ac:dyDescent="0.25"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 spans="15:30" ht="12" customHeight="1" x14ac:dyDescent="0.25"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spans="15:30" ht="12" customHeight="1" x14ac:dyDescent="0.25"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spans="15:30" ht="12" customHeight="1" x14ac:dyDescent="0.25"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spans="15:30" ht="12" customHeight="1" x14ac:dyDescent="0.25"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spans="15:30" ht="12" customHeight="1" x14ac:dyDescent="0.25"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spans="15:30" ht="12" customHeight="1" x14ac:dyDescent="0.25"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spans="15:30" ht="12" customHeight="1" x14ac:dyDescent="0.25"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spans="15:30" ht="12" customHeight="1" x14ac:dyDescent="0.25"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spans="15:30" ht="12" customHeight="1" x14ac:dyDescent="0.25"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spans="15:30" ht="12" customHeight="1" x14ac:dyDescent="0.25"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spans="15:30" ht="12" customHeight="1" x14ac:dyDescent="0.25"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spans="15:30" ht="12" customHeight="1" x14ac:dyDescent="0.25"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spans="15:30" ht="12" customHeight="1" x14ac:dyDescent="0.25"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 spans="15:30" ht="12" customHeight="1" x14ac:dyDescent="0.25"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spans="15:30" ht="12" customHeight="1" x14ac:dyDescent="0.25"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spans="15:30" ht="12" customHeight="1" x14ac:dyDescent="0.25"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spans="15:30" ht="12" customHeight="1" x14ac:dyDescent="0.25"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spans="15:30" ht="12" customHeight="1" x14ac:dyDescent="0.25"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spans="15:30" ht="12" customHeight="1" x14ac:dyDescent="0.25"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spans="15:30" ht="12" customHeight="1" x14ac:dyDescent="0.25"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spans="15:30" ht="12" customHeight="1" x14ac:dyDescent="0.25"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spans="15:30" ht="12" customHeight="1" x14ac:dyDescent="0.25"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 spans="15:30" ht="12" customHeight="1" x14ac:dyDescent="0.25"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spans="15:30" ht="12" customHeight="1" x14ac:dyDescent="0.25"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spans="15:30" ht="12" customHeight="1" x14ac:dyDescent="0.25"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spans="15:30" ht="12" customHeight="1" x14ac:dyDescent="0.25"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spans="15:30" ht="12" customHeight="1" x14ac:dyDescent="0.25"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spans="15:30" ht="12" customHeight="1" x14ac:dyDescent="0.25"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spans="15:30" ht="12" customHeight="1" x14ac:dyDescent="0.25"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spans="15:30" ht="12" customHeight="1" x14ac:dyDescent="0.25"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spans="15:30" ht="12" customHeight="1" x14ac:dyDescent="0.25"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spans="15:30" ht="12" customHeight="1" x14ac:dyDescent="0.25"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spans="15:30" ht="12" customHeight="1" x14ac:dyDescent="0.25"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spans="15:30" ht="12" customHeight="1" x14ac:dyDescent="0.25"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 spans="15:30" ht="12" customHeight="1" x14ac:dyDescent="0.25"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spans="15:30" ht="12" customHeight="1" x14ac:dyDescent="0.25"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spans="15:30" ht="12" customHeight="1" x14ac:dyDescent="0.25"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spans="15:30" ht="12" customHeight="1" x14ac:dyDescent="0.25"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spans="15:30" ht="12" customHeight="1" x14ac:dyDescent="0.25"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spans="15:30" ht="12" customHeight="1" x14ac:dyDescent="0.25"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spans="15:30" ht="12" customHeight="1" x14ac:dyDescent="0.25"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spans="15:30" ht="12" customHeight="1" x14ac:dyDescent="0.25"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spans="15:30" ht="12" customHeight="1" x14ac:dyDescent="0.25"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spans="15:30" ht="12" customHeight="1" x14ac:dyDescent="0.25"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spans="15:30" ht="12" customHeight="1" x14ac:dyDescent="0.25"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spans="15:30" ht="12" customHeight="1" x14ac:dyDescent="0.25"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spans="15:30" ht="12" customHeight="1" x14ac:dyDescent="0.25"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spans="15:30" ht="12" customHeight="1" x14ac:dyDescent="0.25"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spans="15:30" ht="12" customHeight="1" x14ac:dyDescent="0.25"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</sheetData>
  <mergeCells count="19">
    <mergeCell ref="O1:U1"/>
    <mergeCell ref="A48:C48"/>
    <mergeCell ref="A49:C49"/>
    <mergeCell ref="A47:C47"/>
    <mergeCell ref="L1:M1"/>
    <mergeCell ref="A2:A29"/>
    <mergeCell ref="A30:A46"/>
    <mergeCell ref="B2:B10"/>
    <mergeCell ref="B11:B18"/>
    <mergeCell ref="B19:B20"/>
    <mergeCell ref="B21:B23"/>
    <mergeCell ref="B24:B28"/>
    <mergeCell ref="B29:C29"/>
    <mergeCell ref="B30:B35"/>
    <mergeCell ref="B36:B37"/>
    <mergeCell ref="B38:B41"/>
    <mergeCell ref="B42:B43"/>
    <mergeCell ref="B44:B45"/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E513-2C8B-4F26-BA7A-F0A298D1FCC5}">
  <dimension ref="A1:AP51"/>
  <sheetViews>
    <sheetView showGridLines="0" topLeftCell="C2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424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425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/>
      <c r="U3" s="105" t="s">
        <v>332</v>
      </c>
      <c r="V3" s="105"/>
      <c r="W3" s="105"/>
      <c r="X3" s="105"/>
      <c r="Y3" s="105"/>
      <c r="Z3" s="105"/>
      <c r="AA3" s="105"/>
      <c r="AB3" s="105"/>
      <c r="AC3" s="105" t="s">
        <v>340</v>
      </c>
      <c r="AD3" s="105"/>
      <c r="AE3" s="105" t="s">
        <v>342</v>
      </c>
      <c r="AF3" s="105"/>
      <c r="AG3" s="105"/>
      <c r="AH3" s="105" t="s">
        <v>345</v>
      </c>
      <c r="AI3" s="105"/>
      <c r="AJ3" s="105"/>
      <c r="AK3" s="105"/>
      <c r="AL3" s="105"/>
      <c r="AM3" s="105" t="s">
        <v>331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331</v>
      </c>
      <c r="U4" s="10" t="s">
        <v>333</v>
      </c>
      <c r="V4" s="10" t="s">
        <v>334</v>
      </c>
      <c r="W4" s="10" t="s">
        <v>335</v>
      </c>
      <c r="X4" s="10" t="s">
        <v>336</v>
      </c>
      <c r="Y4" s="10" t="s">
        <v>337</v>
      </c>
      <c r="Z4" s="10" t="s">
        <v>338</v>
      </c>
      <c r="AA4" s="10" t="s">
        <v>339</v>
      </c>
      <c r="AB4" s="10" t="s">
        <v>331</v>
      </c>
      <c r="AC4" s="10" t="s">
        <v>341</v>
      </c>
      <c r="AD4" s="10" t="s">
        <v>331</v>
      </c>
      <c r="AE4" s="10" t="s">
        <v>343</v>
      </c>
      <c r="AF4" s="10" t="s">
        <v>344</v>
      </c>
      <c r="AG4" s="10" t="s">
        <v>331</v>
      </c>
      <c r="AH4" s="10" t="s">
        <v>346</v>
      </c>
      <c r="AI4" s="10" t="s">
        <v>347</v>
      </c>
      <c r="AJ4" s="10" t="s">
        <v>348</v>
      </c>
      <c r="AK4" s="10" t="s">
        <v>349</v>
      </c>
      <c r="AL4" s="10" t="s">
        <v>331</v>
      </c>
      <c r="AM4" s="107"/>
      <c r="AP4" s="106"/>
    </row>
    <row r="5" spans="1:42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/>
      <c r="M5" s="12"/>
      <c r="N5" s="12"/>
      <c r="O5" s="12"/>
      <c r="P5" s="12"/>
      <c r="Q5" s="12"/>
      <c r="R5" s="12"/>
      <c r="S5" s="12"/>
      <c r="T5" s="12"/>
      <c r="U5" s="12">
        <v>0</v>
      </c>
      <c r="V5" s="12">
        <v>0</v>
      </c>
      <c r="W5" s="12">
        <v>0</v>
      </c>
      <c r="X5" s="12">
        <v>0</v>
      </c>
      <c r="Y5" s="12">
        <v>6.8099999999999994E-2</v>
      </c>
      <c r="Z5" s="12">
        <v>0</v>
      </c>
      <c r="AA5" s="12">
        <v>0</v>
      </c>
      <c r="AB5" s="12"/>
      <c r="AC5" s="12">
        <v>23.964099999999998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P5" s="12">
        <v>1</v>
      </c>
    </row>
    <row r="6" spans="1:42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/>
      <c r="M6" s="12"/>
      <c r="N6" s="12"/>
      <c r="O6" s="12"/>
      <c r="P6" s="12"/>
      <c r="Q6" s="12"/>
      <c r="R6" s="12"/>
      <c r="S6" s="12"/>
      <c r="T6" s="12"/>
      <c r="U6" s="12">
        <v>0</v>
      </c>
      <c r="V6" s="12">
        <v>0</v>
      </c>
      <c r="W6" s="12">
        <v>0</v>
      </c>
      <c r="X6" s="12">
        <v>0</v>
      </c>
      <c r="Y6" s="12">
        <v>3.9199999999999999E-2</v>
      </c>
      <c r="Z6" s="12">
        <v>0</v>
      </c>
      <c r="AA6" s="12">
        <v>0</v>
      </c>
      <c r="AB6" s="12"/>
      <c r="AC6" s="12">
        <v>6.5589000000000004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P6" s="12">
        <v>1</v>
      </c>
    </row>
    <row r="7" spans="1:42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/>
      <c r="M7" s="12"/>
      <c r="N7" s="12"/>
      <c r="O7" s="12"/>
      <c r="P7" s="12"/>
      <c r="Q7" s="12"/>
      <c r="R7" s="12"/>
      <c r="S7" s="12"/>
      <c r="T7" s="12"/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/>
      <c r="AC7" s="12">
        <v>0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P7" s="12">
        <v>1</v>
      </c>
    </row>
    <row r="8" spans="1:42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/>
      <c r="M8" s="12"/>
      <c r="N8" s="12"/>
      <c r="O8" s="12"/>
      <c r="P8" s="12"/>
      <c r="Q8" s="12"/>
      <c r="R8" s="12"/>
      <c r="S8" s="12"/>
      <c r="T8" s="12"/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/>
      <c r="AC8" s="12">
        <v>0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P8" s="12">
        <v>1</v>
      </c>
    </row>
    <row r="9" spans="1:42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/>
      <c r="M9" s="12"/>
      <c r="N9" s="12"/>
      <c r="O9" s="12"/>
      <c r="P9" s="12"/>
      <c r="Q9" s="12"/>
      <c r="R9" s="12"/>
      <c r="S9" s="12"/>
      <c r="T9" s="12"/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/>
      <c r="AC9" s="12">
        <v>3.6606999999999998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P9" s="12"/>
    </row>
    <row r="10" spans="1:42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/>
      <c r="M10" s="12"/>
      <c r="N10" s="12"/>
      <c r="O10" s="12"/>
      <c r="P10" s="12"/>
      <c r="Q10" s="12"/>
      <c r="R10" s="12"/>
      <c r="S10" s="12"/>
      <c r="T10" s="12"/>
      <c r="U10" s="12">
        <v>0</v>
      </c>
      <c r="V10" s="12">
        <v>0</v>
      </c>
      <c r="W10" s="12">
        <v>0</v>
      </c>
      <c r="X10" s="12">
        <v>0</v>
      </c>
      <c r="Y10" s="12">
        <v>3.9199999999999999E-2</v>
      </c>
      <c r="Z10" s="12">
        <v>0</v>
      </c>
      <c r="AA10" s="12">
        <v>0</v>
      </c>
      <c r="AB10" s="12"/>
      <c r="AC10" s="12">
        <v>6.5589000000000004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P10" s="12">
        <v>1</v>
      </c>
    </row>
    <row r="11" spans="1:42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/>
      <c r="M11" s="12"/>
      <c r="N11" s="12"/>
      <c r="O11" s="12"/>
      <c r="P11" s="12"/>
      <c r="Q11" s="12"/>
      <c r="R11" s="12"/>
      <c r="S11" s="12"/>
      <c r="T11" s="12"/>
      <c r="U11" s="12">
        <v>0</v>
      </c>
      <c r="V11" s="12">
        <v>0</v>
      </c>
      <c r="W11" s="12">
        <v>0</v>
      </c>
      <c r="X11" s="12">
        <v>0</v>
      </c>
      <c r="Y11" s="12">
        <v>1.6387</v>
      </c>
      <c r="Z11" s="12">
        <v>0</v>
      </c>
      <c r="AA11" s="12">
        <v>0</v>
      </c>
      <c r="AB11" s="12"/>
      <c r="AC11" s="12">
        <v>576.33619999999996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P11" s="12">
        <v>1</v>
      </c>
    </row>
    <row r="12" spans="1:42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/>
      <c r="M12" s="12"/>
      <c r="N12" s="12"/>
      <c r="O12" s="12"/>
      <c r="P12" s="12"/>
      <c r="Q12" s="12"/>
      <c r="R12" s="12"/>
      <c r="S12" s="12"/>
      <c r="T12" s="12"/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/>
      <c r="AC12" s="12">
        <v>0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P12" s="12">
        <v>1</v>
      </c>
    </row>
    <row r="13" spans="1:42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/>
      <c r="M13" s="12"/>
      <c r="N13" s="12"/>
      <c r="O13" s="12"/>
      <c r="P13" s="12"/>
      <c r="Q13" s="12"/>
      <c r="R13" s="12"/>
      <c r="S13" s="12"/>
      <c r="T13" s="12"/>
      <c r="U13" s="12">
        <v>0</v>
      </c>
      <c r="V13" s="12">
        <v>0</v>
      </c>
      <c r="W13" s="12">
        <v>0</v>
      </c>
      <c r="X13" s="12">
        <v>0</v>
      </c>
      <c r="Y13" s="12">
        <v>1.6387</v>
      </c>
      <c r="Z13" s="12">
        <v>0</v>
      </c>
      <c r="AA13" s="12">
        <v>0</v>
      </c>
      <c r="AB13" s="12"/>
      <c r="AC13" s="12">
        <v>576.33619999999996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P13" s="12">
        <v>1</v>
      </c>
    </row>
    <row r="14" spans="1:42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/>
      <c r="M14" s="12"/>
      <c r="N14" s="12"/>
      <c r="O14" s="12"/>
      <c r="P14" s="12"/>
      <c r="Q14" s="12"/>
      <c r="R14" s="12"/>
      <c r="S14" s="12"/>
      <c r="T14" s="12"/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/>
      <c r="AC14" s="12">
        <v>0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P14" s="12">
        <v>1</v>
      </c>
    </row>
    <row r="15" spans="1:42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/>
      <c r="M15" s="12"/>
      <c r="N15" s="12"/>
      <c r="O15" s="12"/>
      <c r="P15" s="12"/>
      <c r="Q15" s="12"/>
      <c r="R15" s="12"/>
      <c r="S15" s="12"/>
      <c r="T15" s="12"/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/>
      <c r="AC15" s="12">
        <v>2.1027999999999998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P15" s="12"/>
    </row>
    <row r="16" spans="1:42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/>
      <c r="M16" s="12"/>
      <c r="N16" s="12"/>
      <c r="O16" s="12"/>
      <c r="P16" s="12"/>
      <c r="Q16" s="12"/>
      <c r="R16" s="12"/>
      <c r="S16" s="12"/>
      <c r="T16" s="12"/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/>
      <c r="AC16" s="12">
        <v>6.2590000000000003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P16" s="12"/>
    </row>
    <row r="17" spans="1:42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/>
      <c r="M17" s="12"/>
      <c r="N17" s="12"/>
      <c r="O17" s="12"/>
      <c r="P17" s="12"/>
      <c r="Q17" s="12"/>
      <c r="R17" s="12"/>
      <c r="S17" s="12"/>
      <c r="T17" s="12"/>
      <c r="U17" s="12">
        <v>0</v>
      </c>
      <c r="V17" s="12">
        <v>0</v>
      </c>
      <c r="W17" s="12">
        <v>0</v>
      </c>
      <c r="X17" s="12">
        <v>0</v>
      </c>
      <c r="Y17" s="12">
        <v>0.63619999999999999</v>
      </c>
      <c r="Z17" s="12">
        <v>0</v>
      </c>
      <c r="AA17" s="12">
        <v>0</v>
      </c>
      <c r="AB17" s="12"/>
      <c r="AC17" s="12">
        <v>317.9153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P17" s="12">
        <v>1</v>
      </c>
    </row>
    <row r="18" spans="1:42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/>
      <c r="M18" s="12"/>
      <c r="N18" s="12"/>
      <c r="O18" s="12"/>
      <c r="P18" s="12"/>
      <c r="Q18" s="12"/>
      <c r="R18" s="12"/>
      <c r="S18" s="12"/>
      <c r="T18" s="12"/>
      <c r="U18" s="12">
        <v>0</v>
      </c>
      <c r="V18" s="12">
        <v>0</v>
      </c>
      <c r="W18" s="12">
        <v>0</v>
      </c>
      <c r="X18" s="12">
        <v>0</v>
      </c>
      <c r="Y18" s="12">
        <v>0.38179999999999997</v>
      </c>
      <c r="Z18" s="12">
        <v>0</v>
      </c>
      <c r="AA18" s="12">
        <v>0</v>
      </c>
      <c r="AB18" s="12"/>
      <c r="AC18" s="12">
        <v>190.7492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P18" s="12">
        <v>1</v>
      </c>
    </row>
    <row r="19" spans="1:42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/>
      <c r="M19" s="12"/>
      <c r="N19" s="12"/>
      <c r="O19" s="12"/>
      <c r="P19" s="12"/>
      <c r="Q19" s="12"/>
      <c r="R19" s="12"/>
      <c r="S19" s="12"/>
      <c r="T19" s="12"/>
      <c r="U19" s="12">
        <v>0</v>
      </c>
      <c r="V19" s="12">
        <v>0</v>
      </c>
      <c r="W19" s="12">
        <v>0</v>
      </c>
      <c r="X19" s="12">
        <v>0</v>
      </c>
      <c r="Y19" s="12">
        <v>0.1273</v>
      </c>
      <c r="Z19" s="12">
        <v>0</v>
      </c>
      <c r="AA19" s="12">
        <v>0</v>
      </c>
      <c r="AB19" s="12"/>
      <c r="AC19" s="12">
        <v>63.582999999999998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P19" s="12">
        <v>1</v>
      </c>
    </row>
    <row r="20" spans="1:42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/>
      <c r="M20" s="12"/>
      <c r="N20" s="12"/>
      <c r="O20" s="12"/>
      <c r="P20" s="12"/>
      <c r="Q20" s="12"/>
      <c r="R20" s="12"/>
      <c r="S20" s="12"/>
      <c r="T20" s="12"/>
      <c r="U20" s="12">
        <v>0</v>
      </c>
      <c r="V20" s="12">
        <v>0</v>
      </c>
      <c r="W20" s="12">
        <v>0</v>
      </c>
      <c r="X20" s="12">
        <v>0</v>
      </c>
      <c r="Y20" s="12">
        <v>0.23569999999999999</v>
      </c>
      <c r="Z20" s="12">
        <v>0</v>
      </c>
      <c r="AA20" s="12">
        <v>0</v>
      </c>
      <c r="AB20" s="12"/>
      <c r="AC20" s="12">
        <v>117.74639999999999</v>
      </c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P20" s="12">
        <v>1</v>
      </c>
    </row>
    <row r="21" spans="1:42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/>
      <c r="M21" s="12"/>
      <c r="N21" s="12"/>
      <c r="O21" s="12"/>
      <c r="P21" s="12"/>
      <c r="Q21" s="12"/>
      <c r="R21" s="12"/>
      <c r="S21" s="12"/>
      <c r="T21" s="12"/>
      <c r="U21" s="12">
        <v>0</v>
      </c>
      <c r="V21" s="12">
        <v>0</v>
      </c>
      <c r="W21" s="12">
        <v>0</v>
      </c>
      <c r="X21" s="12">
        <v>0</v>
      </c>
      <c r="Y21" s="12">
        <f>(1 - CUSTOS!$M$24)*0.2357</f>
        <v>0.23569999999999999</v>
      </c>
      <c r="Z21" s="12">
        <v>0</v>
      </c>
      <c r="AA21" s="12">
        <v>0</v>
      </c>
      <c r="AB21" s="12"/>
      <c r="AC21" s="12">
        <f>(1 - CUSTOS!$M$24)*117.7464</f>
        <v>117.74639999999999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P21" s="12">
        <f>IF((1 - CUSTOS!$M$24)&lt;&gt;0,1/(1 - CUSTOS!$M$24),1)</f>
        <v>1</v>
      </c>
    </row>
    <row r="22" spans="1:42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/>
      <c r="M22" s="12"/>
      <c r="N22" s="12"/>
      <c r="O22" s="12"/>
      <c r="P22" s="12"/>
      <c r="Q22" s="12"/>
      <c r="R22" s="12"/>
      <c r="S22" s="12"/>
      <c r="T22" s="12"/>
      <c r="U22" s="12">
        <v>0</v>
      </c>
      <c r="V22" s="12">
        <v>0</v>
      </c>
      <c r="W22" s="12">
        <v>0</v>
      </c>
      <c r="X22" s="12">
        <v>0</v>
      </c>
      <c r="Y22" s="12">
        <f>(1 - CUSTOS!$M$25)*0.2357</f>
        <v>0.23569999999999999</v>
      </c>
      <c r="Z22" s="12">
        <v>0</v>
      </c>
      <c r="AA22" s="12">
        <v>0</v>
      </c>
      <c r="AB22" s="12"/>
      <c r="AC22" s="12">
        <f>(1 - CUSTOS!$M$25)*117.7464</f>
        <v>117.74639999999999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P22" s="12">
        <f>IF((1 - CUSTOS!$M$25)&lt;&gt;0,1/(1 - CUSTOS!$M$25),1)</f>
        <v>1</v>
      </c>
    </row>
    <row r="23" spans="1:42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/>
      <c r="M23" s="12"/>
      <c r="N23" s="12"/>
      <c r="O23" s="12"/>
      <c r="P23" s="12"/>
      <c r="Q23" s="12"/>
      <c r="R23" s="12"/>
      <c r="S23" s="12"/>
      <c r="T23" s="12"/>
      <c r="U23" s="12">
        <v>0</v>
      </c>
      <c r="V23" s="12">
        <v>0</v>
      </c>
      <c r="W23" s="12">
        <v>0</v>
      </c>
      <c r="X23" s="12">
        <v>0</v>
      </c>
      <c r="Y23" s="12">
        <f>(1 - CUSTOS!$M$26)*0.2357</f>
        <v>0.23569999999999999</v>
      </c>
      <c r="Z23" s="12">
        <v>0</v>
      </c>
      <c r="AA23" s="12">
        <v>0</v>
      </c>
      <c r="AB23" s="12"/>
      <c r="AC23" s="12">
        <f>(1 - CUSTOS!$M$26)*117.7464</f>
        <v>117.74639999999999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P23" s="12">
        <f>IF((1 - CUSTOS!$M$26)&lt;&gt;0,1/(1 - CUSTOS!$M$26),1)</f>
        <v>1</v>
      </c>
    </row>
    <row r="24" spans="1:42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/>
      <c r="M24" s="12"/>
      <c r="N24" s="12"/>
      <c r="O24" s="12"/>
      <c r="P24" s="12"/>
      <c r="Q24" s="12"/>
      <c r="R24" s="12"/>
      <c r="S24" s="12"/>
      <c r="T24" s="12"/>
      <c r="U24" s="12">
        <v>0</v>
      </c>
      <c r="V24" s="12">
        <v>0</v>
      </c>
      <c r="W24" s="12">
        <v>0</v>
      </c>
      <c r="X24" s="12">
        <v>0</v>
      </c>
      <c r="Y24" s="12">
        <f>(1 - CUSTOS!$M$27)*0.2357</f>
        <v>0.23569999999999999</v>
      </c>
      <c r="Z24" s="12">
        <v>0</v>
      </c>
      <c r="AA24" s="12">
        <v>0</v>
      </c>
      <c r="AB24" s="12"/>
      <c r="AC24" s="12">
        <f>(1 - CUSTOS!$M$27)*117.7464</f>
        <v>117.74639999999999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P24" s="12">
        <f>IF((1 - CUSTOS!$M$27)&lt;&gt;0,1/(1 - CUSTOS!$M$27),1)</f>
        <v>1</v>
      </c>
    </row>
    <row r="25" spans="1:42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/>
      <c r="M25" s="12"/>
      <c r="N25" s="12"/>
      <c r="O25" s="12"/>
      <c r="P25" s="12"/>
      <c r="Q25" s="12"/>
      <c r="R25" s="12"/>
      <c r="S25" s="12"/>
      <c r="T25" s="12"/>
      <c r="U25" s="12">
        <v>0</v>
      </c>
      <c r="V25" s="12">
        <v>0</v>
      </c>
      <c r="W25" s="12">
        <v>0</v>
      </c>
      <c r="X25" s="12">
        <v>0</v>
      </c>
      <c r="Y25" s="12">
        <v>0.23569999999999999</v>
      </c>
      <c r="Z25" s="12">
        <v>0</v>
      </c>
      <c r="AA25" s="12">
        <v>0</v>
      </c>
      <c r="AB25" s="12"/>
      <c r="AC25" s="12">
        <v>117.74639999999999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P25" s="12">
        <v>1</v>
      </c>
    </row>
    <row r="26" spans="1:42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/>
      <c r="M26" s="12"/>
      <c r="N26" s="12"/>
      <c r="O26" s="12"/>
      <c r="P26" s="12"/>
      <c r="Q26" s="12"/>
      <c r="R26" s="12"/>
      <c r="S26" s="12"/>
      <c r="T26" s="12"/>
      <c r="U26" s="12">
        <v>0</v>
      </c>
      <c r="V26" s="12">
        <v>0</v>
      </c>
      <c r="W26" s="12">
        <v>0</v>
      </c>
      <c r="X26" s="12">
        <v>0</v>
      </c>
      <c r="Y26" s="12">
        <f>(1 - CUSTOS!$M$24)*0.2357</f>
        <v>0.23569999999999999</v>
      </c>
      <c r="Z26" s="12">
        <v>0</v>
      </c>
      <c r="AA26" s="12">
        <v>0</v>
      </c>
      <c r="AB26" s="12"/>
      <c r="AC26" s="12">
        <f>(1 - CUSTOS!$M$24)*117.7464</f>
        <v>117.74639999999999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P26" s="12">
        <f>IF((1 - CUSTOS!$M$24)&lt;&gt;0,1/(1 - CUSTOS!$M$24),1)</f>
        <v>1</v>
      </c>
    </row>
    <row r="27" spans="1:42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/>
      <c r="M27" s="12"/>
      <c r="N27" s="12"/>
      <c r="O27" s="12"/>
      <c r="P27" s="12"/>
      <c r="Q27" s="12"/>
      <c r="R27" s="12"/>
      <c r="S27" s="12"/>
      <c r="T27" s="12"/>
      <c r="U27" s="12">
        <v>0</v>
      </c>
      <c r="V27" s="12">
        <v>0</v>
      </c>
      <c r="W27" s="12">
        <v>0</v>
      </c>
      <c r="X27" s="12">
        <v>0</v>
      </c>
      <c r="Y27" s="12">
        <f>(1 - CUSTOS!$M$25)*0.2357</f>
        <v>0.23569999999999999</v>
      </c>
      <c r="Z27" s="12">
        <v>0</v>
      </c>
      <c r="AA27" s="12">
        <v>0</v>
      </c>
      <c r="AB27" s="12"/>
      <c r="AC27" s="12">
        <f>(1 - CUSTOS!$M$25)*117.7464</f>
        <v>117.74639999999999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P27" s="12">
        <f>IF((1 - CUSTOS!$M$25)&lt;&gt;0,1/(1 - CUSTOS!$M$25),1)</f>
        <v>1</v>
      </c>
    </row>
    <row r="28" spans="1:42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/>
      <c r="M28" s="12"/>
      <c r="N28" s="12"/>
      <c r="O28" s="12"/>
      <c r="P28" s="12"/>
      <c r="Q28" s="12"/>
      <c r="R28" s="12"/>
      <c r="S28" s="12"/>
      <c r="T28" s="12"/>
      <c r="U28" s="12">
        <v>0</v>
      </c>
      <c r="V28" s="12">
        <v>0</v>
      </c>
      <c r="W28" s="12">
        <v>0</v>
      </c>
      <c r="X28" s="12">
        <v>0</v>
      </c>
      <c r="Y28" s="12">
        <f>(1 - CUSTOS!$M$26)*0.2357</f>
        <v>0.23569999999999999</v>
      </c>
      <c r="Z28" s="12">
        <v>0</v>
      </c>
      <c r="AA28" s="12">
        <v>0</v>
      </c>
      <c r="AB28" s="12"/>
      <c r="AC28" s="12">
        <f>(1 - CUSTOS!$M$26)*117.7464</f>
        <v>117.74639999999999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P28" s="12">
        <f>IF((1 - CUSTOS!$M$26)&lt;&gt;0,1/(1 - CUSTOS!$M$26),1)</f>
        <v>1</v>
      </c>
    </row>
    <row r="29" spans="1:42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/>
      <c r="M29" s="12"/>
      <c r="N29" s="12"/>
      <c r="O29" s="12"/>
      <c r="P29" s="12"/>
      <c r="Q29" s="12"/>
      <c r="R29" s="12"/>
      <c r="S29" s="12"/>
      <c r="T29" s="12"/>
      <c r="U29" s="12">
        <v>0</v>
      </c>
      <c r="V29" s="12">
        <v>0</v>
      </c>
      <c r="W29" s="12">
        <v>0</v>
      </c>
      <c r="X29" s="12">
        <v>0</v>
      </c>
      <c r="Y29" s="12">
        <f>(1 - CUSTOS!$M$27)*0.2357</f>
        <v>0.23569999999999999</v>
      </c>
      <c r="Z29" s="12">
        <v>0</v>
      </c>
      <c r="AA29" s="12">
        <v>0</v>
      </c>
      <c r="AB29" s="12"/>
      <c r="AC29" s="12">
        <f>(1 - CUSTOS!$M$27)*117.7464</f>
        <v>117.74639999999999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P29" s="12">
        <f>IF((1 - CUSTOS!$M$27)&lt;&gt;0,1/(1 - CUSTOS!$M$27),1)</f>
        <v>1</v>
      </c>
    </row>
    <row r="30" spans="1:42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/>
      <c r="M30" s="12"/>
      <c r="N30" s="12"/>
      <c r="O30" s="12"/>
      <c r="P30" s="12"/>
      <c r="Q30" s="12"/>
      <c r="R30" s="12"/>
      <c r="S30" s="12"/>
      <c r="T30" s="12"/>
      <c r="U30" s="12">
        <v>0</v>
      </c>
      <c r="V30" s="12">
        <v>0</v>
      </c>
      <c r="W30" s="12">
        <v>0</v>
      </c>
      <c r="X30" s="12">
        <v>0</v>
      </c>
      <c r="Y30" s="12">
        <f>(1 - CUSTOS!$M$28)*0.6952</f>
        <v>0.69520000000000004</v>
      </c>
      <c r="Z30" s="12">
        <v>0</v>
      </c>
      <c r="AA30" s="12">
        <v>0</v>
      </c>
      <c r="AB30" s="12"/>
      <c r="AC30" s="12">
        <f>(1 - CUSTOS!$M$28)*347.3519</f>
        <v>347.3519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P30" s="12">
        <f>IF((1 - CUSTOS!$M$28)&lt;&gt;0,1/(1 - CUSTOS!$M$28),1)</f>
        <v>1</v>
      </c>
    </row>
    <row r="31" spans="1:42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/>
      <c r="M31" s="12"/>
      <c r="N31" s="12"/>
      <c r="O31" s="12"/>
      <c r="P31" s="12"/>
      <c r="Q31" s="12"/>
      <c r="R31" s="12"/>
      <c r="S31" s="12"/>
      <c r="T31" s="12"/>
      <c r="U31" s="12">
        <v>0</v>
      </c>
      <c r="V31" s="12">
        <v>0</v>
      </c>
      <c r="W31" s="12">
        <v>0</v>
      </c>
      <c r="X31" s="12">
        <v>0</v>
      </c>
      <c r="Y31" s="12">
        <f>(1 - CUSTOS!$M$28)*0.417</f>
        <v>0.41699999999999998</v>
      </c>
      <c r="Z31" s="12">
        <v>0</v>
      </c>
      <c r="AA31" s="12">
        <v>0</v>
      </c>
      <c r="AB31" s="12"/>
      <c r="AC31" s="12">
        <f>(1 - CUSTOS!$M$28)*208.4112</f>
        <v>208.41120000000001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P31" s="12">
        <f>IF((1 - CUSTOS!$M$28)&lt;&gt;0,1/(1 - CUSTOS!$M$28),1)</f>
        <v>1</v>
      </c>
    </row>
    <row r="32" spans="1:42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/>
      <c r="M32" s="12"/>
      <c r="N32" s="12"/>
      <c r="O32" s="12"/>
      <c r="P32" s="12"/>
      <c r="Q32" s="12"/>
      <c r="R32" s="12"/>
      <c r="S32" s="12"/>
      <c r="T32" s="12"/>
      <c r="U32" s="12">
        <v>0</v>
      </c>
      <c r="V32" s="12">
        <v>0</v>
      </c>
      <c r="W32" s="12">
        <v>0</v>
      </c>
      <c r="X32" s="12">
        <v>0</v>
      </c>
      <c r="Y32" s="12">
        <f>(1 - CUSTOS!$M$28)*0.1391</f>
        <v>0.1391</v>
      </c>
      <c r="Z32" s="12">
        <v>0</v>
      </c>
      <c r="AA32" s="12">
        <v>0</v>
      </c>
      <c r="AB32" s="12"/>
      <c r="AC32" s="12">
        <f>(1 - CUSTOS!$M$28)*69.4704</f>
        <v>69.470399999999998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P32" s="12">
        <f>IF((1 - CUSTOS!$M$28)&lt;&gt;0,1/(1 - CUSTOS!$M$28),1)</f>
        <v>1</v>
      </c>
    </row>
    <row r="33" spans="1:42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/>
      <c r="M33" s="12"/>
      <c r="N33" s="12"/>
      <c r="O33" s="12"/>
      <c r="P33" s="12"/>
      <c r="Q33" s="12"/>
      <c r="R33" s="12"/>
      <c r="S33" s="12"/>
      <c r="T33" s="12"/>
      <c r="U33" s="12">
        <v>0</v>
      </c>
      <c r="V33" s="12">
        <v>0</v>
      </c>
      <c r="W33" s="12">
        <v>0</v>
      </c>
      <c r="X33" s="12">
        <v>0</v>
      </c>
      <c r="Y33" s="12">
        <f>(1 - CUSTOS!$M$28)*0.2357</f>
        <v>0.23569999999999999</v>
      </c>
      <c r="Z33" s="12">
        <v>0</v>
      </c>
      <c r="AA33" s="12">
        <v>0</v>
      </c>
      <c r="AB33" s="12"/>
      <c r="AC33" s="12">
        <f>(1 - CUSTOS!$M$28)*117.7464</f>
        <v>117.74639999999999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P33" s="12">
        <f>IF((1 - CUSTOS!$M$28)&lt;&gt;0,1/(1 - CUSTOS!$M$28),1)</f>
        <v>1</v>
      </c>
    </row>
    <row r="34" spans="1:42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/>
      <c r="M34" s="12"/>
      <c r="N34" s="12"/>
      <c r="O34" s="12"/>
      <c r="P34" s="12"/>
      <c r="Q34" s="12"/>
      <c r="R34" s="12"/>
      <c r="S34" s="12"/>
      <c r="T34" s="12"/>
      <c r="U34" s="12">
        <v>0</v>
      </c>
      <c r="V34" s="12">
        <v>0</v>
      </c>
      <c r="W34" s="12">
        <v>0</v>
      </c>
      <c r="X34" s="12">
        <v>0</v>
      </c>
      <c r="Y34" s="12">
        <f>(1 - CUSTOS!$M$29)*0.6952</f>
        <v>0.69520000000000004</v>
      </c>
      <c r="Z34" s="12">
        <v>0</v>
      </c>
      <c r="AA34" s="12">
        <v>0</v>
      </c>
      <c r="AB34" s="12"/>
      <c r="AC34" s="12">
        <f>(1 - CUSTOS!$M$29)*347.3519</f>
        <v>347.3519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P34" s="12">
        <f>IF((1 - CUSTOS!$M$29)&lt;&gt;0,1/(1 - CUSTOS!$M$29),1)</f>
        <v>1</v>
      </c>
    </row>
    <row r="35" spans="1:42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/>
      <c r="M35" s="12"/>
      <c r="N35" s="12"/>
      <c r="O35" s="12"/>
      <c r="P35" s="12"/>
      <c r="Q35" s="12"/>
      <c r="R35" s="12"/>
      <c r="S35" s="12"/>
      <c r="T35" s="12"/>
      <c r="U35" s="12">
        <v>0</v>
      </c>
      <c r="V35" s="12">
        <v>0</v>
      </c>
      <c r="W35" s="12">
        <v>0</v>
      </c>
      <c r="X35" s="12">
        <v>0</v>
      </c>
      <c r="Y35" s="12">
        <f>(1 - CUSTOS!$M$29)*0.417</f>
        <v>0.41699999999999998</v>
      </c>
      <c r="Z35" s="12">
        <v>0</v>
      </c>
      <c r="AA35" s="12">
        <v>0</v>
      </c>
      <c r="AB35" s="12"/>
      <c r="AC35" s="12">
        <f>(1 - CUSTOS!$M$29)*208.4112</f>
        <v>208.41120000000001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P35" s="12">
        <f>IF((1 - CUSTOS!$M$29)&lt;&gt;0,1/(1 - CUSTOS!$M$29),1)</f>
        <v>1</v>
      </c>
    </row>
    <row r="36" spans="1:42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/>
      <c r="M36" s="12"/>
      <c r="N36" s="12"/>
      <c r="O36" s="12"/>
      <c r="P36" s="12"/>
      <c r="Q36" s="12"/>
      <c r="R36" s="12"/>
      <c r="S36" s="12"/>
      <c r="T36" s="12"/>
      <c r="U36" s="12">
        <v>0</v>
      </c>
      <c r="V36" s="12">
        <v>0</v>
      </c>
      <c r="W36" s="12">
        <v>0</v>
      </c>
      <c r="X36" s="12">
        <v>0</v>
      </c>
      <c r="Y36" s="12">
        <f>(1 - CUSTOS!$M$29)*0.1391</f>
        <v>0.1391</v>
      </c>
      <c r="Z36" s="12">
        <v>0</v>
      </c>
      <c r="AA36" s="12">
        <v>0</v>
      </c>
      <c r="AB36" s="12"/>
      <c r="AC36" s="12">
        <f>(1 - CUSTOS!$M$29)*69.4704</f>
        <v>69.470399999999998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P36" s="12">
        <f>IF((1 - CUSTOS!$M$29)&lt;&gt;0,1/(1 - CUSTOS!$M$29),1)</f>
        <v>1</v>
      </c>
    </row>
    <row r="37" spans="1:42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/>
      <c r="M37" s="12"/>
      <c r="N37" s="12"/>
      <c r="O37" s="12"/>
      <c r="P37" s="12"/>
      <c r="Q37" s="12"/>
      <c r="R37" s="12"/>
      <c r="S37" s="12"/>
      <c r="T37" s="12"/>
      <c r="U37" s="12">
        <v>0</v>
      </c>
      <c r="V37" s="12">
        <v>0</v>
      </c>
      <c r="W37" s="12">
        <v>0</v>
      </c>
      <c r="X37" s="12">
        <v>0</v>
      </c>
      <c r="Y37" s="12">
        <f>(1 - CUSTOS!$M$29)*0.2357</f>
        <v>0.23569999999999999</v>
      </c>
      <c r="Z37" s="12">
        <v>0</v>
      </c>
      <c r="AA37" s="12">
        <v>0</v>
      </c>
      <c r="AB37" s="12"/>
      <c r="AC37" s="12">
        <f>(1 - CUSTOS!$M$29)*117.7464</f>
        <v>117.74639999999999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P37" s="12">
        <f>IF((1 - CUSTOS!$M$29)&lt;&gt;0,1/(1 - CUSTOS!$M$29),1)</f>
        <v>1</v>
      </c>
    </row>
    <row r="38" spans="1:42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/>
      <c r="M38" s="12"/>
      <c r="N38" s="12"/>
      <c r="O38" s="12"/>
      <c r="P38" s="12"/>
      <c r="Q38" s="12"/>
      <c r="R38" s="12"/>
      <c r="S38" s="12"/>
      <c r="T38" s="12"/>
      <c r="U38" s="12">
        <v>0</v>
      </c>
      <c r="V38" s="12">
        <v>0</v>
      </c>
      <c r="W38" s="12">
        <v>0</v>
      </c>
      <c r="X38" s="12">
        <v>0</v>
      </c>
      <c r="Y38" s="12">
        <f>(1 - CUSTOS!$M$30)*0.6952</f>
        <v>0.69520000000000004</v>
      </c>
      <c r="Z38" s="12">
        <v>0</v>
      </c>
      <c r="AA38" s="12">
        <v>0</v>
      </c>
      <c r="AB38" s="12"/>
      <c r="AC38" s="12">
        <f>(1 - CUSTOS!$M$30)*347.3519</f>
        <v>347.3519</v>
      </c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P38" s="12">
        <f>IF((1 - CUSTOS!$M$30)&lt;&gt;0,1/(1 - CUSTOS!$M$30),1)</f>
        <v>1</v>
      </c>
    </row>
    <row r="39" spans="1:42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/>
      <c r="M39" s="12"/>
      <c r="N39" s="12"/>
      <c r="O39" s="12"/>
      <c r="P39" s="12"/>
      <c r="Q39" s="12"/>
      <c r="R39" s="12"/>
      <c r="S39" s="12"/>
      <c r="T39" s="12"/>
      <c r="U39" s="12">
        <v>0</v>
      </c>
      <c r="V39" s="12">
        <v>0</v>
      </c>
      <c r="W39" s="12">
        <v>0</v>
      </c>
      <c r="X39" s="12">
        <v>0</v>
      </c>
      <c r="Y39" s="12">
        <f>(1 - CUSTOS!$M$30)*0.417</f>
        <v>0.41699999999999998</v>
      </c>
      <c r="Z39" s="12">
        <v>0</v>
      </c>
      <c r="AA39" s="12">
        <v>0</v>
      </c>
      <c r="AB39" s="12"/>
      <c r="AC39" s="12">
        <f>(1 - CUSTOS!$M$30)*208.4112</f>
        <v>208.41120000000001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P39" s="12">
        <f>IF((1 - CUSTOS!$M$30)&lt;&gt;0,1/(1 - CUSTOS!$M$30),1)</f>
        <v>1</v>
      </c>
    </row>
    <row r="40" spans="1:42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0</v>
      </c>
      <c r="W40" s="12">
        <v>0</v>
      </c>
      <c r="X40" s="12">
        <v>0</v>
      </c>
      <c r="Y40" s="12">
        <f>(1 - CUSTOS!$M$30)*0.1391</f>
        <v>0.1391</v>
      </c>
      <c r="Z40" s="12">
        <v>0</v>
      </c>
      <c r="AA40" s="12">
        <v>0</v>
      </c>
      <c r="AB40" s="12"/>
      <c r="AC40" s="12">
        <f>(1 - CUSTOS!$M$30)*69.4704</f>
        <v>69.470399999999998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P40" s="12">
        <f>IF((1 - CUSTOS!$M$30)&lt;&gt;0,1/(1 - CUSTOS!$M$30),1)</f>
        <v>1</v>
      </c>
    </row>
    <row r="41" spans="1:42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0</v>
      </c>
      <c r="W41" s="12">
        <v>0</v>
      </c>
      <c r="X41" s="12">
        <v>0</v>
      </c>
      <c r="Y41" s="12">
        <f>(1 - CUSTOS!$M$30)*0.2357</f>
        <v>0.23569999999999999</v>
      </c>
      <c r="Z41" s="12">
        <v>0</v>
      </c>
      <c r="AA41" s="12">
        <v>0</v>
      </c>
      <c r="AB41" s="12"/>
      <c r="AC41" s="12">
        <f>(1 - CUSTOS!$M$30)*117.7464</f>
        <v>117.74639999999999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P41" s="12">
        <f>IF((1 - CUSTOS!$M$30)&lt;&gt;0,1/(1 - CUSTOS!$M$30),1)</f>
        <v>1</v>
      </c>
    </row>
    <row r="42" spans="1:42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/>
      <c r="M42" s="12"/>
      <c r="N42" s="12"/>
      <c r="O42" s="12"/>
      <c r="P42" s="12"/>
      <c r="Q42" s="12"/>
      <c r="R42" s="12"/>
      <c r="S42" s="12"/>
      <c r="T42" s="12"/>
      <c r="U42" s="12">
        <v>0</v>
      </c>
      <c r="V42" s="12">
        <v>0</v>
      </c>
      <c r="W42" s="12">
        <v>0</v>
      </c>
      <c r="X42" s="12">
        <v>0</v>
      </c>
      <c r="Y42" s="12">
        <f>(1 - CUSTOS!$M$28)*0.2357</f>
        <v>0.23569999999999999</v>
      </c>
      <c r="Z42" s="12">
        <v>0</v>
      </c>
      <c r="AA42" s="12">
        <v>0</v>
      </c>
      <c r="AB42" s="12"/>
      <c r="AC42" s="12">
        <f>(1 - CUSTOS!$M$28)*117.7464</f>
        <v>117.74639999999999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P42" s="12">
        <f>IF((1 - CUSTOS!$M$28)&lt;&gt;0,1/(1 - CUSTOS!$M$28),1)</f>
        <v>1</v>
      </c>
    </row>
    <row r="43" spans="1:42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/>
      <c r="M43" s="12"/>
      <c r="N43" s="12"/>
      <c r="O43" s="12"/>
      <c r="P43" s="12"/>
      <c r="Q43" s="12"/>
      <c r="R43" s="12"/>
      <c r="S43" s="12"/>
      <c r="T43" s="12"/>
      <c r="U43" s="12">
        <v>0</v>
      </c>
      <c r="V43" s="12">
        <v>0</v>
      </c>
      <c r="W43" s="12">
        <v>0</v>
      </c>
      <c r="X43" s="12">
        <v>0</v>
      </c>
      <c r="Y43" s="12">
        <f>(1 - CUSTOS!$M$29)*0.2357</f>
        <v>0.23569999999999999</v>
      </c>
      <c r="Z43" s="12">
        <v>0</v>
      </c>
      <c r="AA43" s="12">
        <v>0</v>
      </c>
      <c r="AB43" s="12"/>
      <c r="AC43" s="12">
        <f>(1 - CUSTOS!$M$29)*117.7464</f>
        <v>117.74639999999999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P43" s="12">
        <f>IF((1 - CUSTOS!$M$29)&lt;&gt;0,1/(1 - CUSTOS!$M$29),1)</f>
        <v>1</v>
      </c>
    </row>
    <row r="44" spans="1:42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0</v>
      </c>
      <c r="W44" s="12">
        <v>0</v>
      </c>
      <c r="X44" s="12">
        <v>0</v>
      </c>
      <c r="Y44" s="12">
        <f>(1 - CUSTOS!$M$30)*0.2357</f>
        <v>0.23569999999999999</v>
      </c>
      <c r="Z44" s="12">
        <v>0</v>
      </c>
      <c r="AA44" s="12">
        <v>0</v>
      </c>
      <c r="AB44" s="12"/>
      <c r="AC44" s="12">
        <f>(1 - CUSTOS!$M$30)*117.7464</f>
        <v>117.74639999999999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P44" s="12">
        <f>IF((1 - CUSTOS!$M$30)&lt;&gt;0,1/(1 - CUSTOS!$M$30),1)</f>
        <v>1</v>
      </c>
    </row>
    <row r="45" spans="1:42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/>
      <c r="M45" s="12"/>
      <c r="N45" s="12"/>
      <c r="O45" s="12"/>
      <c r="P45" s="12"/>
      <c r="Q45" s="12"/>
      <c r="R45" s="12"/>
      <c r="S45" s="12"/>
      <c r="T45" s="12"/>
      <c r="U45" s="12">
        <v>0</v>
      </c>
      <c r="V45" s="12">
        <v>0</v>
      </c>
      <c r="W45" s="12">
        <v>0</v>
      </c>
      <c r="X45" s="12">
        <v>0</v>
      </c>
      <c r="Y45" s="12">
        <f>(1 - CUSTOS!$M$31)*0.8012</f>
        <v>0.80120000000000002</v>
      </c>
      <c r="Z45" s="12">
        <v>0</v>
      </c>
      <c r="AA45" s="12">
        <v>0</v>
      </c>
      <c r="AB45" s="12"/>
      <c r="AC45" s="12">
        <f>(1 - CUSTOS!$M$31)*400.3378</f>
        <v>400.33780000000002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P45" s="12">
        <f>IF((1 - CUSTOS!$M$31)&lt;&gt;0,1/(1 - CUSTOS!$M$31),1)</f>
        <v>1</v>
      </c>
    </row>
    <row r="46" spans="1:42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/>
      <c r="M46" s="12"/>
      <c r="N46" s="12"/>
      <c r="O46" s="12"/>
      <c r="P46" s="12"/>
      <c r="Q46" s="12"/>
      <c r="R46" s="12"/>
      <c r="S46" s="12"/>
      <c r="T46" s="12"/>
      <c r="U46" s="12">
        <v>0</v>
      </c>
      <c r="V46" s="12">
        <v>0</v>
      </c>
      <c r="W46" s="12">
        <v>0</v>
      </c>
      <c r="X46" s="12">
        <v>0</v>
      </c>
      <c r="Y46" s="12">
        <f>(1 - CUSTOS!$M$31)*0.4807</f>
        <v>0.48070000000000002</v>
      </c>
      <c r="Z46" s="12">
        <v>0</v>
      </c>
      <c r="AA46" s="12">
        <v>0</v>
      </c>
      <c r="AB46" s="12"/>
      <c r="AC46" s="12">
        <f>(1 - CUSTOS!$M$31)*240.2027</f>
        <v>240.20269999999999</v>
      </c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P46" s="12">
        <f>IF((1 - CUSTOS!$M$31)&lt;&gt;0,1/(1 - CUSTOS!$M$31),1)</f>
        <v>1</v>
      </c>
    </row>
    <row r="47" spans="1:42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/>
      <c r="M47" s="12"/>
      <c r="N47" s="12"/>
      <c r="O47" s="12"/>
      <c r="P47" s="12"/>
      <c r="Q47" s="12"/>
      <c r="R47" s="12"/>
      <c r="S47" s="12"/>
      <c r="T47" s="12"/>
      <c r="U47" s="12">
        <v>0</v>
      </c>
      <c r="V47" s="12">
        <v>0</v>
      </c>
      <c r="W47" s="12">
        <v>0</v>
      </c>
      <c r="X47" s="12">
        <v>0</v>
      </c>
      <c r="Y47" s="12">
        <f>(1 - CUSTOS!$M$31)*0.1603</f>
        <v>0.1603</v>
      </c>
      <c r="Z47" s="12">
        <v>0</v>
      </c>
      <c r="AA47" s="12">
        <v>0</v>
      </c>
      <c r="AB47" s="12"/>
      <c r="AC47" s="12">
        <f>(1 - CUSTOS!$M$31)*80.0676</f>
        <v>80.067599999999999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P47" s="12">
        <f>IF((1 - CUSTOS!$M$31)&lt;&gt;0,1/(1 - CUSTOS!$M$31),1)</f>
        <v>1</v>
      </c>
    </row>
    <row r="48" spans="1:42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/>
      <c r="M48" s="12"/>
      <c r="N48" s="12"/>
      <c r="O48" s="12"/>
      <c r="P48" s="12"/>
      <c r="Q48" s="12"/>
      <c r="R48" s="12"/>
      <c r="S48" s="12"/>
      <c r="T48" s="12"/>
      <c r="U48" s="12">
        <v>0</v>
      </c>
      <c r="V48" s="12">
        <v>0</v>
      </c>
      <c r="W48" s="12">
        <v>0</v>
      </c>
      <c r="X48" s="12">
        <v>0</v>
      </c>
      <c r="Y48" s="12">
        <f>(1 - CUSTOS!$M$31)*0.2357</f>
        <v>0.23569999999999999</v>
      </c>
      <c r="Z48" s="12">
        <v>0</v>
      </c>
      <c r="AA48" s="12">
        <v>0</v>
      </c>
      <c r="AB48" s="12"/>
      <c r="AC48" s="12">
        <f>(1 - CUSTOS!$M$31)*117.7464</f>
        <v>117.74639999999999</v>
      </c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P48" s="12">
        <f>IF((1 - CUSTOS!$M$31)&lt;&gt;0,1/(1 - CUSTOS!$M$31),1)</f>
        <v>1</v>
      </c>
    </row>
    <row r="49" spans="1:42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/>
      <c r="M49" s="12"/>
      <c r="N49" s="12"/>
      <c r="O49" s="12"/>
      <c r="P49" s="12"/>
      <c r="Q49" s="12"/>
      <c r="R49" s="12"/>
      <c r="S49" s="12"/>
      <c r="T49" s="12"/>
      <c r="U49" s="12">
        <v>0</v>
      </c>
      <c r="V49" s="12">
        <v>0</v>
      </c>
      <c r="W49" s="12">
        <v>0</v>
      </c>
      <c r="X49" s="12">
        <v>0</v>
      </c>
      <c r="Y49" s="12">
        <f>(1 - CUSTOS!$M$31)*0.2357</f>
        <v>0.23569999999999999</v>
      </c>
      <c r="Z49" s="12">
        <v>0</v>
      </c>
      <c r="AA49" s="12">
        <v>0</v>
      </c>
      <c r="AB49" s="12"/>
      <c r="AC49" s="12">
        <f>(1 - CUSTOS!$M$31)*117.7464</f>
        <v>117.74639999999999</v>
      </c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P49" s="12">
        <f>IF((1 - CUSTOS!$M$31)&lt;&gt;0,1/(1 - CUSTOS!$M$31),1)</f>
        <v>1</v>
      </c>
    </row>
    <row r="50" spans="1:42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/>
      <c r="M50" s="12"/>
      <c r="N50" s="12"/>
      <c r="O50" s="12"/>
      <c r="P50" s="12"/>
      <c r="Q50" s="12"/>
      <c r="R50" s="12"/>
      <c r="S50" s="12"/>
      <c r="T50" s="12"/>
      <c r="U50" s="12">
        <v>0</v>
      </c>
      <c r="V50" s="12">
        <v>0</v>
      </c>
      <c r="W50" s="12">
        <v>0</v>
      </c>
      <c r="X50" s="12">
        <v>0</v>
      </c>
      <c r="Y50" s="12">
        <f>(1 - CUSTOS!$M$32)*0.2357</f>
        <v>0.129635</v>
      </c>
      <c r="Z50" s="12">
        <v>0</v>
      </c>
      <c r="AA50" s="12">
        <v>0</v>
      </c>
      <c r="AB50" s="12"/>
      <c r="AC50" s="12">
        <f>(1 - CUSTOS!$M$32)*117.7464</f>
        <v>64.76052</v>
      </c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P50" s="12">
        <f>IF((1 - CUSTOS!$M$32)&lt;&gt;0,1/(1 - CUSTOS!$M$32),1)</f>
        <v>1.8181818181818181</v>
      </c>
    </row>
    <row r="51" spans="1:42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/>
      <c r="M51" s="12"/>
      <c r="N51" s="12"/>
      <c r="O51" s="12"/>
      <c r="P51" s="12"/>
      <c r="Q51" s="12"/>
      <c r="R51" s="12"/>
      <c r="S51" s="12"/>
      <c r="T51" s="12"/>
      <c r="U51" s="12">
        <v>0</v>
      </c>
      <c r="V51" s="12">
        <v>0</v>
      </c>
      <c r="W51" s="12">
        <v>0</v>
      </c>
      <c r="X51" s="12">
        <v>0</v>
      </c>
      <c r="Y51" s="12">
        <f>(1 - CUSTOS!$M$33)*0.2357</f>
        <v>0.14141999999999999</v>
      </c>
      <c r="Z51" s="12">
        <v>0</v>
      </c>
      <c r="AA51" s="12">
        <v>0</v>
      </c>
      <c r="AB51" s="12"/>
      <c r="AC51" s="12">
        <f>(1 - CUSTOS!$M$33)*117.7464</f>
        <v>70.647839999999988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P51" s="12">
        <f>IF((1 - CUSTOS!$M$33)&lt;&gt;0,1/(1 - CUSTOS!$M$33),1)</f>
        <v>1.6666666666666667</v>
      </c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8BE1-71F1-4C70-AD51-B43C2A817DD6}">
  <dimension ref="A1:AP70"/>
  <sheetViews>
    <sheetView showGridLines="0" topLeftCell="C35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424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425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/>
      <c r="U3" s="105" t="s">
        <v>332</v>
      </c>
      <c r="V3" s="105"/>
      <c r="W3" s="105"/>
      <c r="X3" s="105"/>
      <c r="Y3" s="105"/>
      <c r="Z3" s="105"/>
      <c r="AA3" s="105"/>
      <c r="AB3" s="105"/>
      <c r="AC3" s="105" t="s">
        <v>340</v>
      </c>
      <c r="AD3" s="105"/>
      <c r="AE3" s="105" t="s">
        <v>342</v>
      </c>
      <c r="AF3" s="105"/>
      <c r="AG3" s="105"/>
      <c r="AH3" s="105" t="s">
        <v>345</v>
      </c>
      <c r="AI3" s="105"/>
      <c r="AJ3" s="105"/>
      <c r="AK3" s="105"/>
      <c r="AL3" s="105"/>
      <c r="AM3" s="105" t="s">
        <v>331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331</v>
      </c>
      <c r="U4" s="10" t="s">
        <v>333</v>
      </c>
      <c r="V4" s="10" t="s">
        <v>334</v>
      </c>
      <c r="W4" s="10" t="s">
        <v>335</v>
      </c>
      <c r="X4" s="10" t="s">
        <v>336</v>
      </c>
      <c r="Y4" s="10" t="s">
        <v>337</v>
      </c>
      <c r="Z4" s="10" t="s">
        <v>338</v>
      </c>
      <c r="AA4" s="10" t="s">
        <v>339</v>
      </c>
      <c r="AB4" s="10" t="s">
        <v>331</v>
      </c>
      <c r="AC4" s="10" t="s">
        <v>341</v>
      </c>
      <c r="AD4" s="10" t="s">
        <v>331</v>
      </c>
      <c r="AE4" s="10" t="s">
        <v>343</v>
      </c>
      <c r="AF4" s="10" t="s">
        <v>344</v>
      </c>
      <c r="AG4" s="10" t="s">
        <v>331</v>
      </c>
      <c r="AH4" s="10" t="s">
        <v>346</v>
      </c>
      <c r="AI4" s="10" t="s">
        <v>347</v>
      </c>
      <c r="AJ4" s="10" t="s">
        <v>348</v>
      </c>
      <c r="AK4" s="10" t="s">
        <v>349</v>
      </c>
      <c r="AL4" s="10" t="s">
        <v>331</v>
      </c>
      <c r="AM4" s="107"/>
      <c r="AP4" s="106"/>
    </row>
    <row r="5" spans="1:42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/>
      <c r="U5" s="12">
        <f>TRANSICAO!$U$5*CUSTOS!$R$3</f>
        <v>0</v>
      </c>
      <c r="V5" s="12">
        <f>TRANSICAO!$V$5*CUSTOS!$R$3</f>
        <v>0</v>
      </c>
      <c r="W5" s="12">
        <f>TRANSICAO!$W$5*CUSTOS!$R$3</f>
        <v>0</v>
      </c>
      <c r="X5" s="12">
        <f>TRANSICAO!$X$5*CUSTOS!$R$3</f>
        <v>0</v>
      </c>
      <c r="Y5" s="12">
        <f>TRANSICAO!$Y$5*CUSTOS!$R$3</f>
        <v>6.8099999999999994E-2</v>
      </c>
      <c r="Z5" s="12">
        <f>TRANSICAO!$Z$5*CUSTOS!$R$3</f>
        <v>0</v>
      </c>
      <c r="AA5" s="12">
        <f>TRANSICAO!$AA$5*CUSTOS!$R$3</f>
        <v>0</v>
      </c>
      <c r="AB5" s="12">
        <f>TRANSICAO!$AB$5*CUSTOS!$R$3</f>
        <v>0</v>
      </c>
      <c r="AC5" s="12">
        <f>TRANSICAO!$AC$5*CUSTOS!$R$3</f>
        <v>23.964099999999998</v>
      </c>
      <c r="AD5" s="12">
        <f>TRANSICAO!$AD$5*CUSTOS!$R$3</f>
        <v>0</v>
      </c>
      <c r="AE5" s="12">
        <v>0</v>
      </c>
      <c r="AF5" s="12">
        <v>0</v>
      </c>
      <c r="AG5" s="12"/>
      <c r="AH5" s="12">
        <v>0</v>
      </c>
      <c r="AI5" s="12">
        <v>0</v>
      </c>
      <c r="AJ5" s="12">
        <v>0</v>
      </c>
      <c r="AK5" s="12">
        <f t="shared" ref="AK5:AK51" si="0">AJ5</f>
        <v>0</v>
      </c>
      <c r="AL5" s="12"/>
      <c r="AM5" s="12"/>
      <c r="AP5" s="12">
        <v>1</v>
      </c>
    </row>
    <row r="6" spans="1:42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/>
      <c r="U6" s="12">
        <f>TRANSICAO!$U$6*CUSTOS!$R$3</f>
        <v>0</v>
      </c>
      <c r="V6" s="12">
        <f>TRANSICAO!$V$6*CUSTOS!$R$3</f>
        <v>0</v>
      </c>
      <c r="W6" s="12">
        <f>TRANSICAO!$W$6*CUSTOS!$R$3</f>
        <v>0</v>
      </c>
      <c r="X6" s="12">
        <f>TRANSICAO!$X$6*CUSTOS!$R$3</f>
        <v>0</v>
      </c>
      <c r="Y6" s="12">
        <f>TRANSICAO!$Y$6*CUSTOS!$R$3</f>
        <v>3.9199999999999999E-2</v>
      </c>
      <c r="Z6" s="12">
        <f>TRANSICAO!$Z$6*CUSTOS!$R$3</f>
        <v>0</v>
      </c>
      <c r="AA6" s="12">
        <f>TRANSICAO!$AA$6*CUSTOS!$R$3</f>
        <v>0</v>
      </c>
      <c r="AB6" s="12">
        <f>TRANSICAO!$AB$6*CUSTOS!$R$3</f>
        <v>0</v>
      </c>
      <c r="AC6" s="12">
        <f>TRANSICAO!$AC$6*CUSTOS!$R$3</f>
        <v>6.5589000000000004</v>
      </c>
      <c r="AD6" s="12">
        <f>TRANSICAO!$AD$6*CUSTOS!$R$3</f>
        <v>0</v>
      </c>
      <c r="AE6" s="12">
        <v>0</v>
      </c>
      <c r="AF6" s="12">
        <v>0</v>
      </c>
      <c r="AG6" s="12"/>
      <c r="AH6" s="12">
        <v>0</v>
      </c>
      <c r="AI6" s="12">
        <v>0</v>
      </c>
      <c r="AJ6" s="12">
        <v>0</v>
      </c>
      <c r="AK6" s="12">
        <f t="shared" si="0"/>
        <v>0</v>
      </c>
      <c r="AL6" s="12"/>
      <c r="AM6" s="12"/>
      <c r="AP6" s="12">
        <v>1</v>
      </c>
    </row>
    <row r="7" spans="1:42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>
        <f>0.84</f>
        <v>0.84</v>
      </c>
      <c r="M7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7" s="12">
        <f ca="1">(+M7+O7+R7+U7+V7+W7+X7+Y7+Z7+AA7+AC7+AH7+AI7+AJ7+AK7)*CUSTOS!$M$5</f>
        <v>2.8089790033467508E-13</v>
      </c>
      <c r="O7" s="12">
        <v>1</v>
      </c>
      <c r="P7" s="12">
        <v>1</v>
      </c>
      <c r="Q7" s="12">
        <f>0.84</f>
        <v>0.84</v>
      </c>
      <c r="R7" s="12">
        <v>1</v>
      </c>
      <c r="S7" s="12">
        <v>1</v>
      </c>
      <c r="T7" s="12"/>
      <c r="U7" s="12">
        <f>TRANSICAO!$U$7*CUSTOS!$R$3</f>
        <v>0</v>
      </c>
      <c r="V7" s="12">
        <f>TRANSICAO!$V$7*CUSTOS!$R$3</f>
        <v>0</v>
      </c>
      <c r="W7" s="12">
        <f>TRANSICAO!$W$7*CUSTOS!$R$3</f>
        <v>0</v>
      </c>
      <c r="X7" s="12">
        <f>TRANSICAO!$X$7*CUSTOS!$R$3</f>
        <v>0</v>
      </c>
      <c r="Y7" s="12">
        <f>TRANSICAO!$Y$7*CUSTOS!$R$3</f>
        <v>0</v>
      </c>
      <c r="Z7" s="12">
        <f>TRANSICAO!$Z$7*CUSTOS!$R$3</f>
        <v>0</v>
      </c>
      <c r="AA7" s="12">
        <f>TRANSICAO!$AA$7*CUSTOS!$R$3</f>
        <v>0</v>
      </c>
      <c r="AB7" s="12">
        <f>TRANSICAO!$AB$7*CUSTOS!$R$3</f>
        <v>0</v>
      </c>
      <c r="AC7" s="12">
        <f>TRANSICAO!$AC$7*CUSTOS!$R$3</f>
        <v>0</v>
      </c>
      <c r="AD7" s="12">
        <f>TRANSICAO!$AD$7*CUSTOS!$R$3</f>
        <v>0</v>
      </c>
      <c r="AE7" s="12">
        <v>0</v>
      </c>
      <c r="AF7" s="12">
        <v>0</v>
      </c>
      <c r="AG7" s="12"/>
      <c r="AH7" s="12">
        <v>12.8766</v>
      </c>
      <c r="AI7" s="12">
        <v>12.8766</v>
      </c>
      <c r="AJ7" s="12">
        <f ca="1">$N$63</f>
        <v>0</v>
      </c>
      <c r="AK7" s="12">
        <f t="shared" ca="1" si="0"/>
        <v>0</v>
      </c>
      <c r="AL7" s="12"/>
      <c r="AM7" s="12"/>
      <c r="AP7" s="12">
        <v>1</v>
      </c>
    </row>
    <row r="8" spans="1:42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>
        <v>0</v>
      </c>
      <c r="M8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8" s="12">
        <f ca="1">(+M8+O8+R8+U8+V8+W8+X8+Y8+Z8+AA8+AC8+AH8+AI8+AJ8+AK8)*CUSTOS!$M$5</f>
        <v>2.7089790033467507E-13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/>
      <c r="U8" s="12">
        <f>TRANSICAO!$U$8*CUSTOS!$R$3</f>
        <v>0</v>
      </c>
      <c r="V8" s="12">
        <f>TRANSICAO!$V$8*CUSTOS!$R$3</f>
        <v>0</v>
      </c>
      <c r="W8" s="12">
        <f>TRANSICAO!$W$8*CUSTOS!$R$3</f>
        <v>0</v>
      </c>
      <c r="X8" s="12">
        <f>TRANSICAO!$X$8*CUSTOS!$R$3</f>
        <v>0</v>
      </c>
      <c r="Y8" s="12">
        <f>TRANSICAO!$Y$8*CUSTOS!$R$3</f>
        <v>0</v>
      </c>
      <c r="Z8" s="12">
        <f>TRANSICAO!$Z$8*CUSTOS!$R$3</f>
        <v>0</v>
      </c>
      <c r="AA8" s="12">
        <f>TRANSICAO!$AA$8*CUSTOS!$R$3</f>
        <v>0</v>
      </c>
      <c r="AB8" s="12">
        <f>TRANSICAO!$AB$8*CUSTOS!$R$3</f>
        <v>0</v>
      </c>
      <c r="AC8" s="12">
        <f>TRANSICAO!$AC$8*CUSTOS!$R$3</f>
        <v>0</v>
      </c>
      <c r="AD8" s="12">
        <f>TRANSICAO!$AD$8*CUSTOS!$R$3</f>
        <v>0</v>
      </c>
      <c r="AE8" s="12">
        <v>0</v>
      </c>
      <c r="AF8" s="12">
        <v>0</v>
      </c>
      <c r="AG8" s="12"/>
      <c r="AH8" s="12">
        <v>12.8766</v>
      </c>
      <c r="AI8" s="12">
        <v>12.8766</v>
      </c>
      <c r="AJ8" s="12">
        <f ca="1">$N$63</f>
        <v>0</v>
      </c>
      <c r="AK8" s="12">
        <f t="shared" ca="1" si="0"/>
        <v>0</v>
      </c>
      <c r="AL8" s="12"/>
      <c r="AM8" s="12"/>
      <c r="AP8" s="12">
        <v>1</v>
      </c>
    </row>
    <row r="9" spans="1:42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>
        <v>0</v>
      </c>
      <c r="M9" s="12">
        <v>1.17E-2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/>
      <c r="U9" s="12">
        <f>TRANSICAO!$U$9*CUSTOS!$R$4</f>
        <v>0</v>
      </c>
      <c r="V9" s="12">
        <f>TRANSICAO!$V$9*CUSTOS!$R$4</f>
        <v>0</v>
      </c>
      <c r="W9" s="12">
        <f>TRANSICAO!$W$9*CUSTOS!$R$4</f>
        <v>0</v>
      </c>
      <c r="X9" s="12">
        <f>TRANSICAO!$X$9*CUSTOS!$R$4</f>
        <v>0</v>
      </c>
      <c r="Y9" s="12">
        <f>TRANSICAO!$Y$9*CUSTOS!$R$4</f>
        <v>0</v>
      </c>
      <c r="Z9" s="12">
        <f>TRANSICAO!$Z$9*CUSTOS!$R$4</f>
        <v>0</v>
      </c>
      <c r="AA9" s="12">
        <f>TRANSICAO!$AA$9*CUSTOS!$R$4</f>
        <v>0</v>
      </c>
      <c r="AB9" s="12">
        <f>TRANSICAO!$AB$9*CUSTOS!$R$4</f>
        <v>0</v>
      </c>
      <c r="AC9" s="12">
        <f>TRANSICAO!$AC$9*CUSTOS!$R$4</f>
        <v>3.6606999999999998</v>
      </c>
      <c r="AD9" s="12">
        <f>TRANSICAO!$AD$9*CUSTOS!$R$4</f>
        <v>0</v>
      </c>
      <c r="AE9" s="12">
        <v>0</v>
      </c>
      <c r="AF9" s="12">
        <v>0</v>
      </c>
      <c r="AG9" s="12"/>
      <c r="AH9" s="12">
        <v>5.9999999999999995E-4</v>
      </c>
      <c r="AI9" s="12">
        <v>0</v>
      </c>
      <c r="AJ9" s="12">
        <v>0</v>
      </c>
      <c r="AK9" s="12">
        <f t="shared" si="0"/>
        <v>0</v>
      </c>
      <c r="AL9" s="12"/>
      <c r="AM9" s="12"/>
      <c r="AP9" s="12"/>
    </row>
    <row r="10" spans="1:42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/>
      <c r="U10" s="12">
        <f>TRANSICAO!$U$10*CUSTOS!$R$3</f>
        <v>0</v>
      </c>
      <c r="V10" s="12">
        <f>TRANSICAO!$V$10*CUSTOS!$R$3</f>
        <v>0</v>
      </c>
      <c r="W10" s="12">
        <f>TRANSICAO!$W$10*CUSTOS!$R$3</f>
        <v>0</v>
      </c>
      <c r="X10" s="12">
        <f>TRANSICAO!$X$10*CUSTOS!$R$3</f>
        <v>0</v>
      </c>
      <c r="Y10" s="12">
        <f>TRANSICAO!$Y$10*CUSTOS!$R$3</f>
        <v>3.9199999999999999E-2</v>
      </c>
      <c r="Z10" s="12">
        <f>TRANSICAO!$Z$10*CUSTOS!$R$3</f>
        <v>0</v>
      </c>
      <c r="AA10" s="12">
        <f>TRANSICAO!$AA$10*CUSTOS!$R$3</f>
        <v>0</v>
      </c>
      <c r="AB10" s="12">
        <f>TRANSICAO!$AB$10*CUSTOS!$R$3</f>
        <v>0</v>
      </c>
      <c r="AC10" s="12">
        <f>TRANSICAO!$AC$10*CUSTOS!$R$3</f>
        <v>6.5589000000000004</v>
      </c>
      <c r="AD10" s="12">
        <f>TRANSICAO!$AD$10*CUSTOS!$R$3</f>
        <v>0</v>
      </c>
      <c r="AE10" s="12">
        <v>0</v>
      </c>
      <c r="AF10" s="12">
        <v>0</v>
      </c>
      <c r="AG10" s="12"/>
      <c r="AH10" s="12">
        <v>0</v>
      </c>
      <c r="AI10" s="12">
        <v>0</v>
      </c>
      <c r="AJ10" s="12">
        <v>0</v>
      </c>
      <c r="AK10" s="12">
        <f t="shared" si="0"/>
        <v>0</v>
      </c>
      <c r="AL10" s="12"/>
      <c r="AM10" s="12"/>
      <c r="AP10" s="12">
        <v>1</v>
      </c>
    </row>
    <row r="11" spans="1:42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>
        <f>0.84</f>
        <v>0.84</v>
      </c>
      <c r="M11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11" s="12">
        <f ca="1">(+M11+O11+R11+U11+V11+W11+X11+Y11+Z11+AA11+AC11+AH11+AI11+AJ11+AK11)*CUSTOS!$M$5</f>
        <v>6.060646900334676E-12</v>
      </c>
      <c r="O11" s="12">
        <v>1</v>
      </c>
      <c r="P11" s="12">
        <v>1</v>
      </c>
      <c r="Q11" s="12">
        <f>0.84</f>
        <v>0.84</v>
      </c>
      <c r="R11" s="12">
        <v>1</v>
      </c>
      <c r="S11" s="12">
        <v>1</v>
      </c>
      <c r="T11" s="12"/>
      <c r="U11" s="12">
        <f>TRANSICAO!$U$11*CUSTOS!$R$3</f>
        <v>0</v>
      </c>
      <c r="V11" s="12">
        <f>TRANSICAO!$V$11*CUSTOS!$R$3</f>
        <v>0</v>
      </c>
      <c r="W11" s="12">
        <f>TRANSICAO!$W$11*CUSTOS!$R$3</f>
        <v>0</v>
      </c>
      <c r="X11" s="12">
        <f>TRANSICAO!$X$11*CUSTOS!$R$3</f>
        <v>0</v>
      </c>
      <c r="Y11" s="12">
        <f>TRANSICAO!$Y$11*CUSTOS!$R$3</f>
        <v>1.6387</v>
      </c>
      <c r="Z11" s="12">
        <f>TRANSICAO!$Z$11*CUSTOS!$R$3</f>
        <v>0</v>
      </c>
      <c r="AA11" s="12">
        <f>TRANSICAO!$AA$11*CUSTOS!$R$3</f>
        <v>0</v>
      </c>
      <c r="AB11" s="12">
        <f>TRANSICAO!$AB$11*CUSTOS!$R$3</f>
        <v>0</v>
      </c>
      <c r="AC11" s="12">
        <f>TRANSICAO!$AC$11*CUSTOS!$R$3</f>
        <v>576.33619999999996</v>
      </c>
      <c r="AD11" s="12">
        <f>TRANSICAO!$AD$11*CUSTOS!$R$3</f>
        <v>0</v>
      </c>
      <c r="AE11" s="12">
        <v>0</v>
      </c>
      <c r="AF11" s="12">
        <v>0</v>
      </c>
      <c r="AG11" s="12"/>
      <c r="AH11" s="12">
        <v>12.8766</v>
      </c>
      <c r="AI11" s="12">
        <v>12.8766</v>
      </c>
      <c r="AJ11" s="12">
        <f ca="1">$N$63</f>
        <v>0</v>
      </c>
      <c r="AK11" s="12">
        <f t="shared" ca="1" si="0"/>
        <v>0</v>
      </c>
      <c r="AL11" s="12"/>
      <c r="AM11" s="12"/>
      <c r="AP11" s="12">
        <v>1</v>
      </c>
    </row>
    <row r="12" spans="1:42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>
        <f>0.84</f>
        <v>0.84</v>
      </c>
      <c r="M12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12" s="12">
        <f ca="1">(+M12+O12+R12+U12+V12+W12+X12+Y12+Z12+AA12+AC12+AH12+AI12+AJ12+AK12)*CUSTOS!$M$5</f>
        <v>2.8089790033467508E-13</v>
      </c>
      <c r="O12" s="12">
        <v>1</v>
      </c>
      <c r="P12" s="12">
        <v>1</v>
      </c>
      <c r="Q12" s="12">
        <f>0.84</f>
        <v>0.84</v>
      </c>
      <c r="R12" s="12">
        <v>1</v>
      </c>
      <c r="S12" s="12">
        <v>1</v>
      </c>
      <c r="T12" s="12"/>
      <c r="U12" s="12">
        <f>TRANSICAO!$U$12*CUSTOS!$R$3</f>
        <v>0</v>
      </c>
      <c r="V12" s="12">
        <f>TRANSICAO!$V$12*CUSTOS!$R$3</f>
        <v>0</v>
      </c>
      <c r="W12" s="12">
        <f>TRANSICAO!$W$12*CUSTOS!$R$3</f>
        <v>0</v>
      </c>
      <c r="X12" s="12">
        <f>TRANSICAO!$X$12*CUSTOS!$R$3</f>
        <v>0</v>
      </c>
      <c r="Y12" s="12">
        <f>TRANSICAO!$Y$12*CUSTOS!$R$3</f>
        <v>0</v>
      </c>
      <c r="Z12" s="12">
        <f>TRANSICAO!$Z$12*CUSTOS!$R$3</f>
        <v>0</v>
      </c>
      <c r="AA12" s="12">
        <f>TRANSICAO!$AA$12*CUSTOS!$R$3</f>
        <v>0</v>
      </c>
      <c r="AB12" s="12">
        <f>TRANSICAO!$AB$12*CUSTOS!$R$3</f>
        <v>0</v>
      </c>
      <c r="AC12" s="12">
        <f>TRANSICAO!$AC$12*CUSTOS!$R$3</f>
        <v>0</v>
      </c>
      <c r="AD12" s="12">
        <f>TRANSICAO!$AD$12*CUSTOS!$R$3</f>
        <v>0</v>
      </c>
      <c r="AE12" s="12">
        <v>0</v>
      </c>
      <c r="AF12" s="12">
        <v>0</v>
      </c>
      <c r="AG12" s="12"/>
      <c r="AH12" s="12">
        <v>12.8766</v>
      </c>
      <c r="AI12" s="12">
        <v>12.8766</v>
      </c>
      <c r="AJ12" s="12">
        <f ca="1">$N$63</f>
        <v>0</v>
      </c>
      <c r="AK12" s="12">
        <f t="shared" ca="1" si="0"/>
        <v>0</v>
      </c>
      <c r="AL12" s="12"/>
      <c r="AM12" s="12"/>
      <c r="AP12" s="12">
        <v>1</v>
      </c>
    </row>
    <row r="13" spans="1:42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>
        <v>0</v>
      </c>
      <c r="M13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13" s="12">
        <f ca="1">(+M13+O13+R13+U13+V13+W13+X13+Y13+Z13+AA13+AC13+AH13+AI13+AJ13+AK13)*CUSTOS!$M$5</f>
        <v>6.0506469003346766E-12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/>
      <c r="U13" s="12">
        <f>TRANSICAO!$U$13*CUSTOS!$R$3</f>
        <v>0</v>
      </c>
      <c r="V13" s="12">
        <f>TRANSICAO!$V$13*CUSTOS!$R$3</f>
        <v>0</v>
      </c>
      <c r="W13" s="12">
        <f>TRANSICAO!$W$13*CUSTOS!$R$3</f>
        <v>0</v>
      </c>
      <c r="X13" s="12">
        <f>TRANSICAO!$X$13*CUSTOS!$R$3</f>
        <v>0</v>
      </c>
      <c r="Y13" s="12">
        <f>TRANSICAO!$Y$13*CUSTOS!$R$3</f>
        <v>1.6387</v>
      </c>
      <c r="Z13" s="12">
        <f>TRANSICAO!$Z$13*CUSTOS!$R$3</f>
        <v>0</v>
      </c>
      <c r="AA13" s="12">
        <f>TRANSICAO!$AA$13*CUSTOS!$R$3</f>
        <v>0</v>
      </c>
      <c r="AB13" s="12">
        <f>TRANSICAO!$AB$13*CUSTOS!$R$3</f>
        <v>0</v>
      </c>
      <c r="AC13" s="12">
        <f>TRANSICAO!$AC$13*CUSTOS!$R$3</f>
        <v>576.33619999999996</v>
      </c>
      <c r="AD13" s="12">
        <f>TRANSICAO!$AD$13*CUSTOS!$R$3</f>
        <v>0</v>
      </c>
      <c r="AE13" s="12">
        <v>0</v>
      </c>
      <c r="AF13" s="12">
        <v>0</v>
      </c>
      <c r="AG13" s="12"/>
      <c r="AH13" s="12">
        <v>12.8766</v>
      </c>
      <c r="AI13" s="12">
        <v>12.8766</v>
      </c>
      <c r="AJ13" s="12">
        <f ca="1">$N$63</f>
        <v>0</v>
      </c>
      <c r="AK13" s="12">
        <f t="shared" ca="1" si="0"/>
        <v>0</v>
      </c>
      <c r="AL13" s="12"/>
      <c r="AM13" s="12"/>
      <c r="AP13" s="12">
        <v>1</v>
      </c>
    </row>
    <row r="14" spans="1:42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>
        <v>0</v>
      </c>
      <c r="M14" s="12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0.33659003346750876</v>
      </c>
      <c r="N14" s="12">
        <f ca="1">(+M14+O14+R14+U14+V14+W14+X14+Y14+Z14+AA14+AC14+AH14+AI14+AJ14+AK14)*CUSTOS!$M$5</f>
        <v>2.7089790033467507E-13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/>
      <c r="U14" s="12">
        <f>TRANSICAO!$U$14*CUSTOS!$R$3</f>
        <v>0</v>
      </c>
      <c r="V14" s="12">
        <f>TRANSICAO!$V$14*CUSTOS!$R$3</f>
        <v>0</v>
      </c>
      <c r="W14" s="12">
        <f>TRANSICAO!$W$14*CUSTOS!$R$3</f>
        <v>0</v>
      </c>
      <c r="X14" s="12">
        <f>TRANSICAO!$X$14*CUSTOS!$R$3</f>
        <v>0</v>
      </c>
      <c r="Y14" s="12">
        <f>TRANSICAO!$Y$14*CUSTOS!$R$3</f>
        <v>0</v>
      </c>
      <c r="Z14" s="12">
        <f>TRANSICAO!$Z$14*CUSTOS!$R$3</f>
        <v>0</v>
      </c>
      <c r="AA14" s="12">
        <f>TRANSICAO!$AA$14*CUSTOS!$R$3</f>
        <v>0</v>
      </c>
      <c r="AB14" s="12">
        <f>TRANSICAO!$AB$14*CUSTOS!$R$3</f>
        <v>0</v>
      </c>
      <c r="AC14" s="12">
        <f>TRANSICAO!$AC$14*CUSTOS!$R$3</f>
        <v>0</v>
      </c>
      <c r="AD14" s="12">
        <f>TRANSICAO!$AD$14*CUSTOS!$R$3</f>
        <v>0</v>
      </c>
      <c r="AE14" s="12">
        <v>0</v>
      </c>
      <c r="AF14" s="12">
        <v>0</v>
      </c>
      <c r="AG14" s="12"/>
      <c r="AH14" s="12">
        <v>12.8766</v>
      </c>
      <c r="AI14" s="12">
        <v>12.8766</v>
      </c>
      <c r="AJ14" s="12">
        <f ca="1">$N$63</f>
        <v>0</v>
      </c>
      <c r="AK14" s="12">
        <f t="shared" ca="1" si="0"/>
        <v>0</v>
      </c>
      <c r="AL14" s="12"/>
      <c r="AM14" s="12"/>
      <c r="AP14" s="12">
        <v>1</v>
      </c>
    </row>
    <row r="15" spans="1:42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>
        <v>0</v>
      </c>
      <c r="M15" s="12">
        <v>6.7000000000000002E-3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/>
      <c r="U15" s="12">
        <f>TRANSICAO!$U$15*CUSTOS!$T$4</f>
        <v>0</v>
      </c>
      <c r="V15" s="12">
        <f>TRANSICAO!$V$15*CUSTOS!$T$4</f>
        <v>0</v>
      </c>
      <c r="W15" s="12">
        <f>TRANSICAO!$W$15*CUSTOS!$T$4</f>
        <v>0</v>
      </c>
      <c r="X15" s="12">
        <f>TRANSICAO!$X$15*CUSTOS!$T$4</f>
        <v>0</v>
      </c>
      <c r="Y15" s="12">
        <f>TRANSICAO!$Y$15*CUSTOS!$T$4</f>
        <v>0</v>
      </c>
      <c r="Z15" s="12">
        <f>TRANSICAO!$Z$15*CUSTOS!$T$4</f>
        <v>0</v>
      </c>
      <c r="AA15" s="12">
        <f>TRANSICAO!$AA$15*CUSTOS!$T$4</f>
        <v>0</v>
      </c>
      <c r="AB15" s="12">
        <f>TRANSICAO!$AB$15*CUSTOS!$T$4</f>
        <v>0</v>
      </c>
      <c r="AC15" s="12">
        <f>TRANSICAO!$AC$15*CUSTOS!$T$4</f>
        <v>2.1027999999999998</v>
      </c>
      <c r="AD15" s="12">
        <f>TRANSICAO!$AD$15*CUSTOS!$T$4</f>
        <v>0</v>
      </c>
      <c r="AE15" s="12">
        <v>0</v>
      </c>
      <c r="AF15" s="12">
        <v>0</v>
      </c>
      <c r="AG15" s="12"/>
      <c r="AH15" s="12">
        <v>0</v>
      </c>
      <c r="AI15" s="12">
        <v>0</v>
      </c>
      <c r="AJ15" s="12">
        <v>0</v>
      </c>
      <c r="AK15" s="12">
        <f t="shared" si="0"/>
        <v>0</v>
      </c>
      <c r="AL15" s="12"/>
      <c r="AM15" s="12"/>
      <c r="AP15" s="12"/>
    </row>
    <row r="16" spans="1:42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>
        <v>0</v>
      </c>
      <c r="M16" s="12">
        <v>6.7000000000000002E-3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/>
      <c r="U16" s="12">
        <f>TRANSICAO!$U$16*CUSTOS!$T$4</f>
        <v>0</v>
      </c>
      <c r="V16" s="12">
        <f>TRANSICAO!$V$16*CUSTOS!$T$4</f>
        <v>0</v>
      </c>
      <c r="W16" s="12">
        <f>TRANSICAO!$W$16*CUSTOS!$T$4</f>
        <v>0</v>
      </c>
      <c r="X16" s="12">
        <f>TRANSICAO!$X$16*CUSTOS!$T$4</f>
        <v>0</v>
      </c>
      <c r="Y16" s="12">
        <f>TRANSICAO!$Y$16*CUSTOS!$T$4</f>
        <v>0</v>
      </c>
      <c r="Z16" s="12">
        <f>TRANSICAO!$Z$16*CUSTOS!$T$4</f>
        <v>0</v>
      </c>
      <c r="AA16" s="12">
        <f>TRANSICAO!$AA$16*CUSTOS!$T$4</f>
        <v>0</v>
      </c>
      <c r="AB16" s="12">
        <f>TRANSICAO!$AB$16*CUSTOS!$T$4</f>
        <v>0</v>
      </c>
      <c r="AC16" s="12">
        <f>TRANSICAO!$AC$16*CUSTOS!$T$4</f>
        <v>6.2590000000000003</v>
      </c>
      <c r="AD16" s="12">
        <f>TRANSICAO!$AD$16*CUSTOS!$T$4</f>
        <v>0</v>
      </c>
      <c r="AE16" s="12">
        <v>0</v>
      </c>
      <c r="AF16" s="12">
        <v>0</v>
      </c>
      <c r="AG16" s="12"/>
      <c r="AH16" s="12">
        <v>0</v>
      </c>
      <c r="AI16" s="12">
        <v>0</v>
      </c>
      <c r="AJ16" s="12">
        <v>0</v>
      </c>
      <c r="AK16" s="12">
        <f t="shared" si="0"/>
        <v>0</v>
      </c>
      <c r="AL16" s="12"/>
      <c r="AM16" s="12"/>
      <c r="AP16" s="12"/>
    </row>
    <row r="17" spans="1:42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>
        <f>1</f>
        <v>1</v>
      </c>
      <c r="M17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0.59600278811981056</v>
      </c>
      <c r="N17" s="12">
        <f ca="1">(+M17+O17+R17+U17+V17+W17+X17+Y17+Z17+AA17+AC17+AH17+AI17+AJ17+AK17)*CUSTOS!$M$5</f>
        <v>3.4069695278811982E-12</v>
      </c>
      <c r="O17" s="12">
        <v>1</v>
      </c>
      <c r="P17" s="12">
        <v>1</v>
      </c>
      <c r="Q17" s="12">
        <f>1</f>
        <v>1</v>
      </c>
      <c r="R17" s="12">
        <v>1</v>
      </c>
      <c r="S17" s="12">
        <v>1</v>
      </c>
      <c r="T17" s="12"/>
      <c r="U17" s="12">
        <f>TRANSICAO!$U$17*CUSTOS!$T$3</f>
        <v>0</v>
      </c>
      <c r="V17" s="12">
        <f>TRANSICAO!$V$17*CUSTOS!$T$3</f>
        <v>0</v>
      </c>
      <c r="W17" s="12">
        <f>TRANSICAO!$W$17*CUSTOS!$T$3</f>
        <v>0</v>
      </c>
      <c r="X17" s="12">
        <f>TRANSICAO!$X$17*CUSTOS!$T$3</f>
        <v>0</v>
      </c>
      <c r="Y17" s="12">
        <f>TRANSICAO!$Y$17*CUSTOS!$T$3</f>
        <v>0.57257999999999998</v>
      </c>
      <c r="Z17" s="12">
        <f>TRANSICAO!$Z$17*CUSTOS!$T$3</f>
        <v>0</v>
      </c>
      <c r="AA17" s="12">
        <f>TRANSICAO!$AA$17*CUSTOS!$T$3</f>
        <v>0</v>
      </c>
      <c r="AB17" s="12">
        <f>TRANSICAO!$AB$17*CUSTOS!$T$3</f>
        <v>0</v>
      </c>
      <c r="AC17" s="12">
        <f>TRANSICAO!$AC$17*CUSTOS!$T$3</f>
        <v>286.12377000000004</v>
      </c>
      <c r="AD17" s="12">
        <f>TRANSICAO!$AD$17*CUSTOS!$T$3</f>
        <v>0</v>
      </c>
      <c r="AE17" s="12">
        <v>0</v>
      </c>
      <c r="AF17" s="12">
        <v>0</v>
      </c>
      <c r="AG17" s="12"/>
      <c r="AH17" s="12">
        <v>25.702300000000001</v>
      </c>
      <c r="AI17" s="12">
        <v>25.702300000000001</v>
      </c>
      <c r="AJ17" s="12">
        <f ca="1">$N$64</f>
        <v>0</v>
      </c>
      <c r="AK17" s="12">
        <f t="shared" ca="1" si="0"/>
        <v>0</v>
      </c>
      <c r="AL17" s="12"/>
      <c r="AM17" s="12"/>
      <c r="AP17" s="12">
        <v>1</v>
      </c>
    </row>
    <row r="18" spans="1:42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>
        <f>1</f>
        <v>1</v>
      </c>
      <c r="M18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0.59600278811981056</v>
      </c>
      <c r="N18" s="12">
        <f ca="1">(+M18+O18+R18+U18+V18+W18+X18+Y18+Z18+AA18+AC18+AH18+AI18+AJ18+AK18)*CUSTOS!$M$5</f>
        <v>2.2601850278811984E-12</v>
      </c>
      <c r="O18" s="12">
        <v>1</v>
      </c>
      <c r="P18" s="12">
        <v>1</v>
      </c>
      <c r="Q18" s="12">
        <f>1</f>
        <v>1</v>
      </c>
      <c r="R18" s="12">
        <v>1</v>
      </c>
      <c r="S18" s="12">
        <v>1</v>
      </c>
      <c r="T18" s="12"/>
      <c r="U18" s="12">
        <f>TRANSICAO!$U$18*CUSTOS!$T$3</f>
        <v>0</v>
      </c>
      <c r="V18" s="12">
        <f>TRANSICAO!$V$18*CUSTOS!$T$3</f>
        <v>0</v>
      </c>
      <c r="W18" s="12">
        <f>TRANSICAO!$W$18*CUSTOS!$T$3</f>
        <v>0</v>
      </c>
      <c r="X18" s="12">
        <f>TRANSICAO!$X$18*CUSTOS!$T$3</f>
        <v>0</v>
      </c>
      <c r="Y18" s="12">
        <f>TRANSICAO!$Y$18*CUSTOS!$T$3</f>
        <v>0.34361999999999998</v>
      </c>
      <c r="Z18" s="12">
        <f>TRANSICAO!$Z$18*CUSTOS!$T$3</f>
        <v>0</v>
      </c>
      <c r="AA18" s="12">
        <f>TRANSICAO!$AA$18*CUSTOS!$T$3</f>
        <v>0</v>
      </c>
      <c r="AB18" s="12">
        <f>TRANSICAO!$AB$18*CUSTOS!$T$3</f>
        <v>0</v>
      </c>
      <c r="AC18" s="12">
        <f>TRANSICAO!$AC$18*CUSTOS!$T$3</f>
        <v>171.67428000000001</v>
      </c>
      <c r="AD18" s="12">
        <f>TRANSICAO!$AD$18*CUSTOS!$T$3</f>
        <v>0</v>
      </c>
      <c r="AE18" s="12">
        <v>0</v>
      </c>
      <c r="AF18" s="12">
        <v>0</v>
      </c>
      <c r="AG18" s="12"/>
      <c r="AH18" s="12">
        <v>25.702300000000001</v>
      </c>
      <c r="AI18" s="12">
        <v>25.702300000000001</v>
      </c>
      <c r="AJ18" s="12">
        <f ca="1">$N$64</f>
        <v>0</v>
      </c>
      <c r="AK18" s="12">
        <f t="shared" ca="1" si="0"/>
        <v>0</v>
      </c>
      <c r="AL18" s="12"/>
      <c r="AM18" s="12"/>
      <c r="AP18" s="12">
        <v>1</v>
      </c>
    </row>
    <row r="19" spans="1:42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>
        <f>1</f>
        <v>1</v>
      </c>
      <c r="M19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0.59600278811981056</v>
      </c>
      <c r="N19" s="12">
        <f ca="1">(+M19+O19+R19+U19+V19+W19+X19+Y19+Z19+AA19+AC19+AH19+AI19+AJ19+AK19)*CUSTOS!$M$5</f>
        <v>1.1133987278811981E-12</v>
      </c>
      <c r="O19" s="12">
        <v>1</v>
      </c>
      <c r="P19" s="12">
        <v>1</v>
      </c>
      <c r="Q19" s="12">
        <f>1</f>
        <v>1</v>
      </c>
      <c r="R19" s="12">
        <v>1</v>
      </c>
      <c r="S19" s="12">
        <v>1</v>
      </c>
      <c r="T19" s="12"/>
      <c r="U19" s="12">
        <f>TRANSICAO!$U$19*CUSTOS!$T$3</f>
        <v>0</v>
      </c>
      <c r="V19" s="12">
        <f>TRANSICAO!$V$19*CUSTOS!$T$3</f>
        <v>0</v>
      </c>
      <c r="W19" s="12">
        <f>TRANSICAO!$W$19*CUSTOS!$T$3</f>
        <v>0</v>
      </c>
      <c r="X19" s="12">
        <f>TRANSICAO!$X$19*CUSTOS!$T$3</f>
        <v>0</v>
      </c>
      <c r="Y19" s="12">
        <f>TRANSICAO!$Y$19*CUSTOS!$T$3</f>
        <v>0.11457000000000001</v>
      </c>
      <c r="Z19" s="12">
        <f>TRANSICAO!$Z$19*CUSTOS!$T$3</f>
        <v>0</v>
      </c>
      <c r="AA19" s="12">
        <f>TRANSICAO!$AA$19*CUSTOS!$T$3</f>
        <v>0</v>
      </c>
      <c r="AB19" s="12">
        <f>TRANSICAO!$AB$19*CUSTOS!$T$3</f>
        <v>0</v>
      </c>
      <c r="AC19" s="12">
        <f>TRANSICAO!$AC$19*CUSTOS!$T$3</f>
        <v>57.224699999999999</v>
      </c>
      <c r="AD19" s="12">
        <f>TRANSICAO!$AD$19*CUSTOS!$T$3</f>
        <v>0</v>
      </c>
      <c r="AE19" s="12">
        <v>0</v>
      </c>
      <c r="AF19" s="12">
        <v>0</v>
      </c>
      <c r="AG19" s="12"/>
      <c r="AH19" s="12">
        <v>25.702300000000001</v>
      </c>
      <c r="AI19" s="12">
        <v>25.702300000000001</v>
      </c>
      <c r="AJ19" s="12">
        <f ca="1">$N$64</f>
        <v>0</v>
      </c>
      <c r="AK19" s="12">
        <f t="shared" ca="1" si="0"/>
        <v>0</v>
      </c>
      <c r="AL19" s="12"/>
      <c r="AM19" s="12"/>
      <c r="AP19" s="12">
        <v>1</v>
      </c>
    </row>
    <row r="20" spans="1:42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>
        <f>1</f>
        <v>1</v>
      </c>
      <c r="M20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0.59600278811981056</v>
      </c>
      <c r="N20" s="12">
        <f ca="1">(+M20+O20+R20+U20+V20+W20+X20+Y20+Z20+AA20+AC20+AH20+AI20+AJ20+AK20)*CUSTOS!$M$5</f>
        <v>1.6018449278811983E-12</v>
      </c>
      <c r="O20" s="12">
        <v>1</v>
      </c>
      <c r="P20" s="12">
        <v>1</v>
      </c>
      <c r="Q20" s="12">
        <f>1</f>
        <v>1</v>
      </c>
      <c r="R20" s="12">
        <v>1</v>
      </c>
      <c r="S20" s="12">
        <v>1</v>
      </c>
      <c r="T20" s="12"/>
      <c r="U20" s="12">
        <f>TRANSICAO!$U$20*CUSTOS!$T$3</f>
        <v>0</v>
      </c>
      <c r="V20" s="12">
        <f>TRANSICAO!$V$20*CUSTOS!$T$3</f>
        <v>0</v>
      </c>
      <c r="W20" s="12">
        <f>TRANSICAO!$W$20*CUSTOS!$T$3</f>
        <v>0</v>
      </c>
      <c r="X20" s="12">
        <f>TRANSICAO!$X$20*CUSTOS!$T$3</f>
        <v>0</v>
      </c>
      <c r="Y20" s="12">
        <f>TRANSICAO!$Y$20*CUSTOS!$T$3</f>
        <v>0.21212999999999999</v>
      </c>
      <c r="Z20" s="12">
        <f>TRANSICAO!$Z$20*CUSTOS!$T$3</f>
        <v>0</v>
      </c>
      <c r="AA20" s="12">
        <f>TRANSICAO!$AA$20*CUSTOS!$T$3</f>
        <v>0</v>
      </c>
      <c r="AB20" s="12">
        <f>TRANSICAO!$AB$20*CUSTOS!$T$3</f>
        <v>0</v>
      </c>
      <c r="AC20" s="12">
        <f>TRANSICAO!$AC$20*CUSTOS!$T$3</f>
        <v>105.97176</v>
      </c>
      <c r="AD20" s="12">
        <f>TRANSICAO!$AD$20*CUSTOS!$T$3</f>
        <v>0</v>
      </c>
      <c r="AE20" s="12">
        <v>0</v>
      </c>
      <c r="AF20" s="12">
        <v>0</v>
      </c>
      <c r="AG20" s="12"/>
      <c r="AH20" s="12">
        <v>25.702300000000001</v>
      </c>
      <c r="AI20" s="12">
        <v>25.702300000000001</v>
      </c>
      <c r="AJ20" s="12">
        <f ca="1">$N$64</f>
        <v>0</v>
      </c>
      <c r="AK20" s="12">
        <f t="shared" ca="1" si="0"/>
        <v>0</v>
      </c>
      <c r="AL20" s="12"/>
      <c r="AM20" s="12"/>
      <c r="AP20" s="12">
        <v>1</v>
      </c>
    </row>
    <row r="21" spans="1:42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>
        <v>0</v>
      </c>
      <c r="M21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0.59600278811981056</v>
      </c>
      <c r="N21" s="12">
        <f ca="1">(+M21+O21+R21+U21+V21+W21+X21+Y21+Z21+AA21+AC21+AH21+AI21+AJ21+AK21)*CUSTOS!$M$5</f>
        <v>1.5918449278811983E-12</v>
      </c>
      <c r="O21" s="12">
        <f>1 - CUSTOS!$M$24</f>
        <v>1</v>
      </c>
      <c r="P21" s="12">
        <v>0</v>
      </c>
      <c r="Q21" s="12">
        <v>0</v>
      </c>
      <c r="R21" s="12">
        <v>0</v>
      </c>
      <c r="S21" s="12">
        <f>1 - CUSTOS!$M$24</f>
        <v>1</v>
      </c>
      <c r="T21" s="12"/>
      <c r="U21" s="12">
        <f>TRANSICAO!$U$21*CUSTOS!$T$3</f>
        <v>0</v>
      </c>
      <c r="V21" s="12">
        <f>TRANSICAO!$V$21*CUSTOS!$T$3</f>
        <v>0</v>
      </c>
      <c r="W21" s="12">
        <f>TRANSICAO!$W$21*CUSTOS!$T$3</f>
        <v>0</v>
      </c>
      <c r="X21" s="12">
        <f>TRANSICAO!$X$21*CUSTOS!$T$3</f>
        <v>0</v>
      </c>
      <c r="Y21" s="12">
        <f>TRANSICAO!$Y$21*CUSTOS!$T$3</f>
        <v>0.21212999999999999</v>
      </c>
      <c r="Z21" s="12">
        <f>TRANSICAO!$Z$21*CUSTOS!$T$3</f>
        <v>0</v>
      </c>
      <c r="AA21" s="12">
        <f>TRANSICAO!$AA$21*CUSTOS!$T$3</f>
        <v>0</v>
      </c>
      <c r="AB21" s="12">
        <f>TRANSICAO!$AB$21*CUSTOS!$T$3</f>
        <v>0</v>
      </c>
      <c r="AC21" s="12">
        <f>TRANSICAO!$AC$21*CUSTOS!$T$3</f>
        <v>105.97176</v>
      </c>
      <c r="AD21" s="12">
        <f>TRANSICAO!$AD$21*CUSTOS!$T$3</f>
        <v>0</v>
      </c>
      <c r="AE21" s="12">
        <v>0</v>
      </c>
      <c r="AF21" s="12">
        <v>0</v>
      </c>
      <c r="AG21" s="12"/>
      <c r="AH21" s="12">
        <f>(1 - CUSTOS!$M$24)*25.7023</f>
        <v>25.702300000000001</v>
      </c>
      <c r="AI21" s="12">
        <f>(1 - CUSTOS!$M$24)*25.7023</f>
        <v>25.702300000000001</v>
      </c>
      <c r="AJ21" s="12">
        <f ca="1">$N$64*(1-CUSTOS!$M$24)</f>
        <v>0</v>
      </c>
      <c r="AK21" s="12">
        <f t="shared" ca="1" si="0"/>
        <v>0</v>
      </c>
      <c r="AL21" s="12"/>
      <c r="AM21" s="12"/>
      <c r="AP21" s="12">
        <f>IF((1 - CUSTOS!$M$24)&lt;&gt;0,1/(1 - CUSTOS!$M$24),1)</f>
        <v>1</v>
      </c>
    </row>
    <row r="22" spans="1:42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>
        <v>0</v>
      </c>
      <c r="M22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0.59600278811981056</v>
      </c>
      <c r="N22" s="12">
        <f ca="1">(+M22+O22+R22+U22+V22+W22+X22+Y22+Z22+AA22+AC22+AH22+AI22+AJ22+AK22)*CUSTOS!$M$5</f>
        <v>1.5918449278811983E-12</v>
      </c>
      <c r="O22" s="12">
        <f>1 - CUSTOS!$M$25</f>
        <v>1</v>
      </c>
      <c r="P22" s="12">
        <v>0</v>
      </c>
      <c r="Q22" s="12">
        <v>0</v>
      </c>
      <c r="R22" s="12">
        <v>0</v>
      </c>
      <c r="S22" s="12">
        <f>1 - CUSTOS!$M$25</f>
        <v>1</v>
      </c>
      <c r="T22" s="12"/>
      <c r="U22" s="12">
        <f>TRANSICAO!$U$22*CUSTOS!$T$3</f>
        <v>0</v>
      </c>
      <c r="V22" s="12">
        <f>TRANSICAO!$V$22*CUSTOS!$T$3</f>
        <v>0</v>
      </c>
      <c r="W22" s="12">
        <f>TRANSICAO!$W$22*CUSTOS!$T$3</f>
        <v>0</v>
      </c>
      <c r="X22" s="12">
        <f>TRANSICAO!$X$22*CUSTOS!$T$3</f>
        <v>0</v>
      </c>
      <c r="Y22" s="12">
        <f>TRANSICAO!$Y$22*CUSTOS!$T$3</f>
        <v>0.21212999999999999</v>
      </c>
      <c r="Z22" s="12">
        <f>TRANSICAO!$Z$22*CUSTOS!$T$3</f>
        <v>0</v>
      </c>
      <c r="AA22" s="12">
        <f>TRANSICAO!$AA$22*CUSTOS!$T$3</f>
        <v>0</v>
      </c>
      <c r="AB22" s="12">
        <f>TRANSICAO!$AB$22*CUSTOS!$T$3</f>
        <v>0</v>
      </c>
      <c r="AC22" s="12">
        <f>TRANSICAO!$AC$22*CUSTOS!$T$3</f>
        <v>105.97176</v>
      </c>
      <c r="AD22" s="12">
        <f>TRANSICAO!$AD$22*CUSTOS!$T$3</f>
        <v>0</v>
      </c>
      <c r="AE22" s="12">
        <v>0</v>
      </c>
      <c r="AF22" s="12">
        <v>0</v>
      </c>
      <c r="AG22" s="12"/>
      <c r="AH22" s="12">
        <f>(1 - CUSTOS!$M$25)*25.7023</f>
        <v>25.702300000000001</v>
      </c>
      <c r="AI22" s="12">
        <f>(1 - CUSTOS!$M$25)*25.7023</f>
        <v>25.702300000000001</v>
      </c>
      <c r="AJ22" s="12">
        <f ca="1">$N$64*(1-CUSTOS!$M$25)</f>
        <v>0</v>
      </c>
      <c r="AK22" s="12">
        <f t="shared" ca="1" si="0"/>
        <v>0</v>
      </c>
      <c r="AL22" s="12"/>
      <c r="AM22" s="12"/>
      <c r="AP22" s="12">
        <f>IF((1 - CUSTOS!$M$25)&lt;&gt;0,1/(1 - CUSTOS!$M$25),1)</f>
        <v>1</v>
      </c>
    </row>
    <row r="23" spans="1:42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>
        <v>0</v>
      </c>
      <c r="M23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0.59600278811981056</v>
      </c>
      <c r="N23" s="12">
        <f ca="1">(+M23+O23+R23+U23+V23+W23+X23+Y23+Z23+AA23+AC23+AH23+AI23+AJ23+AK23)*CUSTOS!$M$5</f>
        <v>1.5918449278811983E-12</v>
      </c>
      <c r="O23" s="12">
        <f>1 - CUSTOS!$M$26</f>
        <v>1</v>
      </c>
      <c r="P23" s="12">
        <v>0</v>
      </c>
      <c r="Q23" s="12">
        <v>0</v>
      </c>
      <c r="R23" s="12">
        <v>0</v>
      </c>
      <c r="S23" s="12">
        <f>1 - CUSTOS!$M$26</f>
        <v>1</v>
      </c>
      <c r="T23" s="12"/>
      <c r="U23" s="12">
        <f>TRANSICAO!$U$23*CUSTOS!$T$3</f>
        <v>0</v>
      </c>
      <c r="V23" s="12">
        <f>TRANSICAO!$V$23*CUSTOS!$T$3</f>
        <v>0</v>
      </c>
      <c r="W23" s="12">
        <f>TRANSICAO!$W$23*CUSTOS!$T$3</f>
        <v>0</v>
      </c>
      <c r="X23" s="12">
        <f>TRANSICAO!$X$23*CUSTOS!$T$3</f>
        <v>0</v>
      </c>
      <c r="Y23" s="12">
        <f>TRANSICAO!$Y$23*CUSTOS!$T$3</f>
        <v>0.21212999999999999</v>
      </c>
      <c r="Z23" s="12">
        <f>TRANSICAO!$Z$23*CUSTOS!$T$3</f>
        <v>0</v>
      </c>
      <c r="AA23" s="12">
        <f>TRANSICAO!$AA$23*CUSTOS!$T$3</f>
        <v>0</v>
      </c>
      <c r="AB23" s="12">
        <f>TRANSICAO!$AB$23*CUSTOS!$T$3</f>
        <v>0</v>
      </c>
      <c r="AC23" s="12">
        <f>TRANSICAO!$AC$23*CUSTOS!$T$3</f>
        <v>105.97176</v>
      </c>
      <c r="AD23" s="12">
        <f>TRANSICAO!$AD$23*CUSTOS!$T$3</f>
        <v>0</v>
      </c>
      <c r="AE23" s="12">
        <v>0</v>
      </c>
      <c r="AF23" s="12">
        <v>0</v>
      </c>
      <c r="AG23" s="12"/>
      <c r="AH23" s="12">
        <f>(1 - CUSTOS!$M$26)*25.7023</f>
        <v>25.702300000000001</v>
      </c>
      <c r="AI23" s="12">
        <f>(1 - CUSTOS!$M$26)*25.7023</f>
        <v>25.702300000000001</v>
      </c>
      <c r="AJ23" s="12">
        <f ca="1">$N$64*(1-CUSTOS!$M$26)</f>
        <v>0</v>
      </c>
      <c r="AK23" s="12">
        <f t="shared" ca="1" si="0"/>
        <v>0</v>
      </c>
      <c r="AL23" s="12"/>
      <c r="AM23" s="12"/>
      <c r="AP23" s="12">
        <f>IF((1 - CUSTOS!$M$26)&lt;&gt;0,1/(1 - CUSTOS!$M$26),1)</f>
        <v>1</v>
      </c>
    </row>
    <row r="24" spans="1:42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>
        <v>0</v>
      </c>
      <c r="M24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0.59600278811981056</v>
      </c>
      <c r="N24" s="12">
        <f ca="1">(+M24+O24+R24+U24+V24+W24+X24+Y24+Z24+AA24+AC24+AH24+AI24+AJ24+AK24)*CUSTOS!$M$5</f>
        <v>1.5918449278811983E-12</v>
      </c>
      <c r="O24" s="12">
        <f>1 - CUSTOS!$M$27</f>
        <v>1</v>
      </c>
      <c r="P24" s="12">
        <v>0</v>
      </c>
      <c r="Q24" s="12">
        <v>0</v>
      </c>
      <c r="R24" s="12">
        <v>0</v>
      </c>
      <c r="S24" s="12">
        <f>1 - CUSTOS!$M$27</f>
        <v>1</v>
      </c>
      <c r="T24" s="12"/>
      <c r="U24" s="12">
        <f>TRANSICAO!$U$24*CUSTOS!$T$3</f>
        <v>0</v>
      </c>
      <c r="V24" s="12">
        <f>TRANSICAO!$V$24*CUSTOS!$T$3</f>
        <v>0</v>
      </c>
      <c r="W24" s="12">
        <f>TRANSICAO!$W$24*CUSTOS!$T$3</f>
        <v>0</v>
      </c>
      <c r="X24" s="12">
        <f>TRANSICAO!$X$24*CUSTOS!$T$3</f>
        <v>0</v>
      </c>
      <c r="Y24" s="12">
        <f>TRANSICAO!$Y$24*CUSTOS!$T$3</f>
        <v>0.21212999999999999</v>
      </c>
      <c r="Z24" s="12">
        <f>TRANSICAO!$Z$24*CUSTOS!$T$3</f>
        <v>0</v>
      </c>
      <c r="AA24" s="12">
        <f>TRANSICAO!$AA$24*CUSTOS!$T$3</f>
        <v>0</v>
      </c>
      <c r="AB24" s="12">
        <f>TRANSICAO!$AB$24*CUSTOS!$T$3</f>
        <v>0</v>
      </c>
      <c r="AC24" s="12">
        <f>TRANSICAO!$AC$24*CUSTOS!$T$3</f>
        <v>105.97176</v>
      </c>
      <c r="AD24" s="12">
        <f>TRANSICAO!$AD$24*CUSTOS!$T$3</f>
        <v>0</v>
      </c>
      <c r="AE24" s="12">
        <v>0</v>
      </c>
      <c r="AF24" s="12">
        <v>0</v>
      </c>
      <c r="AG24" s="12"/>
      <c r="AH24" s="12">
        <f>(1 - CUSTOS!$M$27)*25.7023</f>
        <v>25.702300000000001</v>
      </c>
      <c r="AI24" s="12">
        <f>(1 - CUSTOS!$M$27)*25.7023</f>
        <v>25.702300000000001</v>
      </c>
      <c r="AJ24" s="12">
        <f ca="1">$N$64*(1-CUSTOS!$M$27)</f>
        <v>0</v>
      </c>
      <c r="AK24" s="12">
        <f t="shared" ca="1" si="0"/>
        <v>0</v>
      </c>
      <c r="AL24" s="12"/>
      <c r="AM24" s="12"/>
      <c r="AP24" s="12">
        <f>IF((1 - CUSTOS!$M$27)&lt;&gt;0,1/(1 - CUSTOS!$M$27),1)</f>
        <v>1</v>
      </c>
    </row>
    <row r="25" spans="1:42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>
        <f>1</f>
        <v>1</v>
      </c>
      <c r="M25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0.59600278811981056</v>
      </c>
      <c r="N25" s="12">
        <f ca="1">(+M25+O25+R25+U25+V25+W25+X25+Y25+Z25+AA25+AC25+AH25+AI25+AJ25+AK25)*CUSTOS!$M$5</f>
        <v>1.6018449278811983E-12</v>
      </c>
      <c r="O25" s="12">
        <v>1</v>
      </c>
      <c r="P25" s="12">
        <v>1</v>
      </c>
      <c r="Q25" s="12">
        <f>1</f>
        <v>1</v>
      </c>
      <c r="R25" s="12">
        <v>1</v>
      </c>
      <c r="S25" s="12">
        <v>1</v>
      </c>
      <c r="T25" s="12"/>
      <c r="U25" s="12">
        <f>TRANSICAO!$U$25*CUSTOS!$T$3</f>
        <v>0</v>
      </c>
      <c r="V25" s="12">
        <f>TRANSICAO!$V$25*CUSTOS!$T$3</f>
        <v>0</v>
      </c>
      <c r="W25" s="12">
        <f>TRANSICAO!$W$25*CUSTOS!$T$3</f>
        <v>0</v>
      </c>
      <c r="X25" s="12">
        <f>TRANSICAO!$X$25*CUSTOS!$T$3</f>
        <v>0</v>
      </c>
      <c r="Y25" s="12">
        <f>TRANSICAO!$Y$25*CUSTOS!$T$3</f>
        <v>0.21212999999999999</v>
      </c>
      <c r="Z25" s="12">
        <f>TRANSICAO!$Z$25*CUSTOS!$T$3</f>
        <v>0</v>
      </c>
      <c r="AA25" s="12">
        <f>TRANSICAO!$AA$25*CUSTOS!$T$3</f>
        <v>0</v>
      </c>
      <c r="AB25" s="12">
        <f>TRANSICAO!$AB$25*CUSTOS!$T$3</f>
        <v>0</v>
      </c>
      <c r="AC25" s="12">
        <f>TRANSICAO!$AC$25*CUSTOS!$T$3</f>
        <v>105.97176</v>
      </c>
      <c r="AD25" s="12">
        <f>TRANSICAO!$AD$25*CUSTOS!$T$3</f>
        <v>0</v>
      </c>
      <c r="AE25" s="12">
        <v>0</v>
      </c>
      <c r="AF25" s="12">
        <v>0</v>
      </c>
      <c r="AG25" s="12"/>
      <c r="AH25" s="12">
        <v>25.702300000000001</v>
      </c>
      <c r="AI25" s="12">
        <v>25.702300000000001</v>
      </c>
      <c r="AJ25" s="12">
        <f ca="1">$N$64</f>
        <v>0</v>
      </c>
      <c r="AK25" s="12">
        <f t="shared" ca="1" si="0"/>
        <v>0</v>
      </c>
      <c r="AL25" s="12"/>
      <c r="AM25" s="12"/>
      <c r="AP25" s="12">
        <v>1</v>
      </c>
    </row>
    <row r="26" spans="1:42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>
        <v>0</v>
      </c>
      <c r="M26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0.59600278811981056</v>
      </c>
      <c r="N26" s="12">
        <f ca="1">(+M26+O26+R26+U26+V26+W26+X26+Y26+Z26+AA26+AC26+AH26+AI26+AJ26+AK26)*CUSTOS!$M$5</f>
        <v>1.5918449278811983E-12</v>
      </c>
      <c r="O26" s="12">
        <f>1 - CUSTOS!$M$24</f>
        <v>1</v>
      </c>
      <c r="P26" s="12">
        <v>0</v>
      </c>
      <c r="Q26" s="12">
        <v>0</v>
      </c>
      <c r="R26" s="12">
        <v>0</v>
      </c>
      <c r="S26" s="12">
        <f>1 - CUSTOS!$M$24</f>
        <v>1</v>
      </c>
      <c r="T26" s="12"/>
      <c r="U26" s="12">
        <f>TRANSICAO!$U$26*CUSTOS!$T$3</f>
        <v>0</v>
      </c>
      <c r="V26" s="12">
        <f>TRANSICAO!$V$26*CUSTOS!$T$3</f>
        <v>0</v>
      </c>
      <c r="W26" s="12">
        <f>TRANSICAO!$W$26*CUSTOS!$T$3</f>
        <v>0</v>
      </c>
      <c r="X26" s="12">
        <f>TRANSICAO!$X$26*CUSTOS!$T$3</f>
        <v>0</v>
      </c>
      <c r="Y26" s="12">
        <f>TRANSICAO!$Y$26*CUSTOS!$T$3</f>
        <v>0.21212999999999999</v>
      </c>
      <c r="Z26" s="12">
        <f>TRANSICAO!$Z$26*CUSTOS!$T$3</f>
        <v>0</v>
      </c>
      <c r="AA26" s="12">
        <f>TRANSICAO!$AA$26*CUSTOS!$T$3</f>
        <v>0</v>
      </c>
      <c r="AB26" s="12">
        <f>TRANSICAO!$AB$26*CUSTOS!$T$3</f>
        <v>0</v>
      </c>
      <c r="AC26" s="12">
        <f>TRANSICAO!$AC$26*CUSTOS!$T$3</f>
        <v>105.97176</v>
      </c>
      <c r="AD26" s="12">
        <f>TRANSICAO!$AD$26*CUSTOS!$T$3</f>
        <v>0</v>
      </c>
      <c r="AE26" s="12">
        <v>0</v>
      </c>
      <c r="AF26" s="12">
        <v>0</v>
      </c>
      <c r="AG26" s="12"/>
      <c r="AH26" s="12">
        <f>(1 - CUSTOS!$M$24)*25.7023</f>
        <v>25.702300000000001</v>
      </c>
      <c r="AI26" s="12">
        <f>(1 - CUSTOS!$M$24)*25.7023</f>
        <v>25.702300000000001</v>
      </c>
      <c r="AJ26" s="12">
        <f ca="1">$N$64*(1-CUSTOS!$M$24)</f>
        <v>0</v>
      </c>
      <c r="AK26" s="12">
        <f t="shared" ca="1" si="0"/>
        <v>0</v>
      </c>
      <c r="AL26" s="12"/>
      <c r="AM26" s="12"/>
      <c r="AP26" s="12">
        <f>IF((1 - CUSTOS!$M$24)&lt;&gt;0,1/(1 - CUSTOS!$M$24),1)</f>
        <v>1</v>
      </c>
    </row>
    <row r="27" spans="1:42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>
        <v>0</v>
      </c>
      <c r="M27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0.59600278811981056</v>
      </c>
      <c r="N27" s="12">
        <f ca="1">(+M27+O27+R27+U27+V27+W27+X27+Y27+Z27+AA27+AC27+AH27+AI27+AJ27+AK27)*CUSTOS!$M$5</f>
        <v>1.5918449278811983E-12</v>
      </c>
      <c r="O27" s="12">
        <f>1 - CUSTOS!$M$25</f>
        <v>1</v>
      </c>
      <c r="P27" s="12">
        <v>0</v>
      </c>
      <c r="Q27" s="12">
        <v>0</v>
      </c>
      <c r="R27" s="12">
        <v>0</v>
      </c>
      <c r="S27" s="12">
        <f>1 - CUSTOS!$M$25</f>
        <v>1</v>
      </c>
      <c r="T27" s="12"/>
      <c r="U27" s="12">
        <f>TRANSICAO!$U$27*CUSTOS!$T$3</f>
        <v>0</v>
      </c>
      <c r="V27" s="12">
        <f>TRANSICAO!$V$27*CUSTOS!$T$3</f>
        <v>0</v>
      </c>
      <c r="W27" s="12">
        <f>TRANSICAO!$W$27*CUSTOS!$T$3</f>
        <v>0</v>
      </c>
      <c r="X27" s="12">
        <f>TRANSICAO!$X$27*CUSTOS!$T$3</f>
        <v>0</v>
      </c>
      <c r="Y27" s="12">
        <f>TRANSICAO!$Y$27*CUSTOS!$T$3</f>
        <v>0.21212999999999999</v>
      </c>
      <c r="Z27" s="12">
        <f>TRANSICAO!$Z$27*CUSTOS!$T$3</f>
        <v>0</v>
      </c>
      <c r="AA27" s="12">
        <f>TRANSICAO!$AA$27*CUSTOS!$T$3</f>
        <v>0</v>
      </c>
      <c r="AB27" s="12">
        <f>TRANSICAO!$AB$27*CUSTOS!$T$3</f>
        <v>0</v>
      </c>
      <c r="AC27" s="12">
        <f>TRANSICAO!$AC$27*CUSTOS!$T$3</f>
        <v>105.97176</v>
      </c>
      <c r="AD27" s="12">
        <f>TRANSICAO!$AD$27*CUSTOS!$T$3</f>
        <v>0</v>
      </c>
      <c r="AE27" s="12">
        <v>0</v>
      </c>
      <c r="AF27" s="12">
        <v>0</v>
      </c>
      <c r="AG27" s="12"/>
      <c r="AH27" s="12">
        <f>(1 - CUSTOS!$M$25)*25.7023</f>
        <v>25.702300000000001</v>
      </c>
      <c r="AI27" s="12">
        <f>(1 - CUSTOS!$M$25)*25.7023</f>
        <v>25.702300000000001</v>
      </c>
      <c r="AJ27" s="12">
        <f ca="1">$N$64*(1-CUSTOS!$M$25)</f>
        <v>0</v>
      </c>
      <c r="AK27" s="12">
        <f t="shared" ca="1" si="0"/>
        <v>0</v>
      </c>
      <c r="AL27" s="12"/>
      <c r="AM27" s="12"/>
      <c r="AP27" s="12">
        <f>IF((1 - CUSTOS!$M$25)&lt;&gt;0,1/(1 - CUSTOS!$M$25),1)</f>
        <v>1</v>
      </c>
    </row>
    <row r="28" spans="1:42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>
        <v>0</v>
      </c>
      <c r="M28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0.59600278811981056</v>
      </c>
      <c r="N28" s="12">
        <f ca="1">(+M28+O28+R28+U28+V28+W28+X28+Y28+Z28+AA28+AC28+AH28+AI28+AJ28+AK28)*CUSTOS!$M$5</f>
        <v>1.5918449278811983E-12</v>
      </c>
      <c r="O28" s="12">
        <f>1 - CUSTOS!$M$26</f>
        <v>1</v>
      </c>
      <c r="P28" s="12">
        <v>0</v>
      </c>
      <c r="Q28" s="12">
        <v>0</v>
      </c>
      <c r="R28" s="12">
        <v>0</v>
      </c>
      <c r="S28" s="12">
        <f>1 - CUSTOS!$M$26</f>
        <v>1</v>
      </c>
      <c r="T28" s="12"/>
      <c r="U28" s="12">
        <f>TRANSICAO!$U$28*CUSTOS!$T$3</f>
        <v>0</v>
      </c>
      <c r="V28" s="12">
        <f>TRANSICAO!$V$28*CUSTOS!$T$3</f>
        <v>0</v>
      </c>
      <c r="W28" s="12">
        <f>TRANSICAO!$W$28*CUSTOS!$T$3</f>
        <v>0</v>
      </c>
      <c r="X28" s="12">
        <f>TRANSICAO!$X$28*CUSTOS!$T$3</f>
        <v>0</v>
      </c>
      <c r="Y28" s="12">
        <f>TRANSICAO!$Y$28*CUSTOS!$T$3</f>
        <v>0.21212999999999999</v>
      </c>
      <c r="Z28" s="12">
        <f>TRANSICAO!$Z$28*CUSTOS!$T$3</f>
        <v>0</v>
      </c>
      <c r="AA28" s="12">
        <f>TRANSICAO!$AA$28*CUSTOS!$T$3</f>
        <v>0</v>
      </c>
      <c r="AB28" s="12">
        <f>TRANSICAO!$AB$28*CUSTOS!$T$3</f>
        <v>0</v>
      </c>
      <c r="AC28" s="12">
        <f>TRANSICAO!$AC$28*CUSTOS!$T$3</f>
        <v>105.97176</v>
      </c>
      <c r="AD28" s="12">
        <f>TRANSICAO!$AD$28*CUSTOS!$T$3</f>
        <v>0</v>
      </c>
      <c r="AE28" s="12">
        <v>0</v>
      </c>
      <c r="AF28" s="12">
        <v>0</v>
      </c>
      <c r="AG28" s="12"/>
      <c r="AH28" s="12">
        <f>(1 - CUSTOS!$M$26)*25.7023</f>
        <v>25.702300000000001</v>
      </c>
      <c r="AI28" s="12">
        <f>(1 - CUSTOS!$M$26)*25.7023</f>
        <v>25.702300000000001</v>
      </c>
      <c r="AJ28" s="12">
        <f ca="1">$N$64*(1-CUSTOS!$M$26)</f>
        <v>0</v>
      </c>
      <c r="AK28" s="12">
        <f t="shared" ca="1" si="0"/>
        <v>0</v>
      </c>
      <c r="AL28" s="12"/>
      <c r="AM28" s="12"/>
      <c r="AP28" s="12">
        <f>IF((1 - CUSTOS!$M$26)&lt;&gt;0,1/(1 - CUSTOS!$M$26),1)</f>
        <v>1</v>
      </c>
    </row>
    <row r="29" spans="1:42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>
        <v>0</v>
      </c>
      <c r="M29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0.59600278811981056</v>
      </c>
      <c r="N29" s="12">
        <f ca="1">(+M29+O29+R29+U29+V29+W29+X29+Y29+Z29+AA29+AC29+AH29+AI29+AJ29+AK29)*CUSTOS!$M$5</f>
        <v>1.5918449278811983E-12</v>
      </c>
      <c r="O29" s="12">
        <f>1 - CUSTOS!$M$27</f>
        <v>1</v>
      </c>
      <c r="P29" s="12">
        <v>0</v>
      </c>
      <c r="Q29" s="12">
        <v>0</v>
      </c>
      <c r="R29" s="12">
        <v>0</v>
      </c>
      <c r="S29" s="12">
        <f>1 - CUSTOS!$M$27</f>
        <v>1</v>
      </c>
      <c r="T29" s="12"/>
      <c r="U29" s="12">
        <f>TRANSICAO!$U$29*CUSTOS!$T$3</f>
        <v>0</v>
      </c>
      <c r="V29" s="12">
        <f>TRANSICAO!$V$29*CUSTOS!$T$3</f>
        <v>0</v>
      </c>
      <c r="W29" s="12">
        <f>TRANSICAO!$W$29*CUSTOS!$T$3</f>
        <v>0</v>
      </c>
      <c r="X29" s="12">
        <f>TRANSICAO!$X$29*CUSTOS!$T$3</f>
        <v>0</v>
      </c>
      <c r="Y29" s="12">
        <f>TRANSICAO!$Y$29*CUSTOS!$T$3</f>
        <v>0.21212999999999999</v>
      </c>
      <c r="Z29" s="12">
        <f>TRANSICAO!$Z$29*CUSTOS!$T$3</f>
        <v>0</v>
      </c>
      <c r="AA29" s="12">
        <f>TRANSICAO!$AA$29*CUSTOS!$T$3</f>
        <v>0</v>
      </c>
      <c r="AB29" s="12">
        <f>TRANSICAO!$AB$29*CUSTOS!$T$3</f>
        <v>0</v>
      </c>
      <c r="AC29" s="12">
        <f>TRANSICAO!$AC$29*CUSTOS!$T$3</f>
        <v>105.97176</v>
      </c>
      <c r="AD29" s="12">
        <f>TRANSICAO!$AD$29*CUSTOS!$T$3</f>
        <v>0</v>
      </c>
      <c r="AE29" s="12">
        <v>0</v>
      </c>
      <c r="AF29" s="12">
        <v>0</v>
      </c>
      <c r="AG29" s="12"/>
      <c r="AH29" s="12">
        <f>(1 - CUSTOS!$M$27)*25.7023</f>
        <v>25.702300000000001</v>
      </c>
      <c r="AI29" s="12">
        <f>(1 - CUSTOS!$M$27)*25.7023</f>
        <v>25.702300000000001</v>
      </c>
      <c r="AJ29" s="12">
        <f ca="1">$N$64*(1-CUSTOS!$M$27)</f>
        <v>0</v>
      </c>
      <c r="AK29" s="12">
        <f t="shared" ca="1" si="0"/>
        <v>0</v>
      </c>
      <c r="AL29" s="12"/>
      <c r="AM29" s="12"/>
      <c r="AP29" s="12">
        <f>IF((1 - CUSTOS!$M$27)&lt;&gt;0,1/(1 - CUSTOS!$M$27),1)</f>
        <v>1</v>
      </c>
    </row>
    <row r="30" spans="1:42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>
        <f>1*(1 - CUSTOS!$M$28)</f>
        <v>1</v>
      </c>
      <c r="M30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0.59600278811981056</v>
      </c>
      <c r="N30" s="12">
        <f ca="1">(+M30+O30+R30+U30+V30+W30+X30+Y30+Z30+AA30+AC30+AH30+AI30+AJ30+AK30)*CUSTOS!$M$5</f>
        <v>3.6724299278811984E-12</v>
      </c>
      <c r="O30" s="12">
        <f>1 - CUSTOS!$M$28</f>
        <v>1</v>
      </c>
      <c r="P30" s="12">
        <f>1 - CUSTOS!$M$28</f>
        <v>1</v>
      </c>
      <c r="Q30" s="12">
        <f>1*(1 - CUSTOS!$M$28)</f>
        <v>1</v>
      </c>
      <c r="R30" s="12">
        <f>1 - CUSTOS!$M$28</f>
        <v>1</v>
      </c>
      <c r="S30" s="12">
        <f>1 - CUSTOS!$M$28</f>
        <v>1</v>
      </c>
      <c r="T30" s="12"/>
      <c r="U30" s="12">
        <f>TRANSICAO!$U$30*CUSTOS!$T$3</f>
        <v>0</v>
      </c>
      <c r="V30" s="12">
        <f>TRANSICAO!$V$30*CUSTOS!$T$3</f>
        <v>0</v>
      </c>
      <c r="W30" s="12">
        <f>TRANSICAO!$W$30*CUSTOS!$T$3</f>
        <v>0</v>
      </c>
      <c r="X30" s="12">
        <f>TRANSICAO!$X$30*CUSTOS!$T$3</f>
        <v>0</v>
      </c>
      <c r="Y30" s="12">
        <f>TRANSICAO!$Y$30*CUSTOS!$T$3</f>
        <v>0.62568000000000001</v>
      </c>
      <c r="Z30" s="12">
        <f>TRANSICAO!$Z$30*CUSTOS!$T$3</f>
        <v>0</v>
      </c>
      <c r="AA30" s="12">
        <f>TRANSICAO!$AA$30*CUSTOS!$T$3</f>
        <v>0</v>
      </c>
      <c r="AB30" s="12">
        <f>TRANSICAO!$AB$30*CUSTOS!$T$3</f>
        <v>0</v>
      </c>
      <c r="AC30" s="12">
        <f>TRANSICAO!$AC$30*CUSTOS!$T$3</f>
        <v>312.61671000000001</v>
      </c>
      <c r="AD30" s="12">
        <f>TRANSICAO!$AD$30*CUSTOS!$T$3</f>
        <v>0</v>
      </c>
      <c r="AE30" s="12">
        <v>0</v>
      </c>
      <c r="AF30" s="12">
        <v>0</v>
      </c>
      <c r="AG30" s="12"/>
      <c r="AH30" s="12">
        <f>(1 - CUSTOS!$M$28)*25.7023</f>
        <v>25.702300000000001</v>
      </c>
      <c r="AI30" s="12">
        <f>(1 - CUSTOS!$M$28)*25.7023</f>
        <v>25.702300000000001</v>
      </c>
      <c r="AJ30" s="12">
        <f ca="1">$N$64*(1-CUSTOS!$M$28)</f>
        <v>0</v>
      </c>
      <c r="AK30" s="12">
        <f t="shared" ca="1" si="0"/>
        <v>0</v>
      </c>
      <c r="AL30" s="12"/>
      <c r="AM30" s="12"/>
      <c r="AP30" s="12">
        <f>IF((1 - CUSTOS!$M$28)&lt;&gt;0,1/(1 - CUSTOS!$M$28),1)</f>
        <v>1</v>
      </c>
    </row>
    <row r="31" spans="1:42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>
        <f>1*(1 - CUSTOS!$M$28)</f>
        <v>1</v>
      </c>
      <c r="M31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0.59600278811981056</v>
      </c>
      <c r="N31" s="12">
        <f ca="1">(+M31+O31+R31+U31+V31+W31+X31+Y31+Z31+AA31+AC31+AH31+AI31+AJ31+AK31)*CUSTOS!$M$5</f>
        <v>2.4194598278811983E-12</v>
      </c>
      <c r="O31" s="12">
        <f>1 - CUSTOS!$M$28</f>
        <v>1</v>
      </c>
      <c r="P31" s="12">
        <f>1 - CUSTOS!$M$28</f>
        <v>1</v>
      </c>
      <c r="Q31" s="12">
        <f>1*(1 - CUSTOS!$M$28)</f>
        <v>1</v>
      </c>
      <c r="R31" s="12">
        <f>1 - CUSTOS!$M$28</f>
        <v>1</v>
      </c>
      <c r="S31" s="12">
        <f>1 - CUSTOS!$M$28</f>
        <v>1</v>
      </c>
      <c r="T31" s="12"/>
      <c r="U31" s="12">
        <f>TRANSICAO!$U$31*CUSTOS!$T$3</f>
        <v>0</v>
      </c>
      <c r="V31" s="12">
        <f>TRANSICAO!$V$31*CUSTOS!$T$3</f>
        <v>0</v>
      </c>
      <c r="W31" s="12">
        <f>TRANSICAO!$W$31*CUSTOS!$T$3</f>
        <v>0</v>
      </c>
      <c r="X31" s="12">
        <f>TRANSICAO!$X$31*CUSTOS!$T$3</f>
        <v>0</v>
      </c>
      <c r="Y31" s="12">
        <f>TRANSICAO!$Y$31*CUSTOS!$T$3</f>
        <v>0.37529999999999997</v>
      </c>
      <c r="Z31" s="12">
        <f>TRANSICAO!$Z$31*CUSTOS!$T$3</f>
        <v>0</v>
      </c>
      <c r="AA31" s="12">
        <f>TRANSICAO!$AA$31*CUSTOS!$T$3</f>
        <v>0</v>
      </c>
      <c r="AB31" s="12">
        <f>TRANSICAO!$AB$31*CUSTOS!$T$3</f>
        <v>0</v>
      </c>
      <c r="AC31" s="12">
        <f>TRANSICAO!$AC$31*CUSTOS!$T$3</f>
        <v>187.57008000000002</v>
      </c>
      <c r="AD31" s="12">
        <f>TRANSICAO!$AD$31*CUSTOS!$T$3</f>
        <v>0</v>
      </c>
      <c r="AE31" s="12">
        <v>0</v>
      </c>
      <c r="AF31" s="12">
        <v>0</v>
      </c>
      <c r="AG31" s="12"/>
      <c r="AH31" s="12">
        <f>(1 - CUSTOS!$M$28)*25.7023</f>
        <v>25.702300000000001</v>
      </c>
      <c r="AI31" s="12">
        <f>(1 - CUSTOS!$M$28)*25.7023</f>
        <v>25.702300000000001</v>
      </c>
      <c r="AJ31" s="12">
        <f ca="1">$N$64*(1-CUSTOS!$M$28)</f>
        <v>0</v>
      </c>
      <c r="AK31" s="12">
        <f t="shared" ca="1" si="0"/>
        <v>0</v>
      </c>
      <c r="AL31" s="12"/>
      <c r="AM31" s="12"/>
      <c r="AP31" s="12">
        <f>IF((1 - CUSTOS!$M$28)&lt;&gt;0,1/(1 - CUSTOS!$M$28),1)</f>
        <v>1</v>
      </c>
    </row>
    <row r="32" spans="1:42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>
        <f>1*(1 - CUSTOS!$M$28)</f>
        <v>1</v>
      </c>
      <c r="M32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0.59600278811981056</v>
      </c>
      <c r="N32" s="12">
        <f ca="1">(+M32+O32+R32+U32+V32+W32+X32+Y32+Z32+AA32+AC32+AH32+AI32+AJ32+AK32)*CUSTOS!$M$5</f>
        <v>1.166491527881198E-12</v>
      </c>
      <c r="O32" s="12">
        <f>1 - CUSTOS!$M$28</f>
        <v>1</v>
      </c>
      <c r="P32" s="12">
        <f>1 - CUSTOS!$M$28</f>
        <v>1</v>
      </c>
      <c r="Q32" s="12">
        <f>1*(1 - CUSTOS!$M$28)</f>
        <v>1</v>
      </c>
      <c r="R32" s="12">
        <f>1 - CUSTOS!$M$28</f>
        <v>1</v>
      </c>
      <c r="S32" s="12">
        <f>1 - CUSTOS!$M$28</f>
        <v>1</v>
      </c>
      <c r="T32" s="12"/>
      <c r="U32" s="12">
        <f>TRANSICAO!$U$32*CUSTOS!$T$3</f>
        <v>0</v>
      </c>
      <c r="V32" s="12">
        <f>TRANSICAO!$V$32*CUSTOS!$T$3</f>
        <v>0</v>
      </c>
      <c r="W32" s="12">
        <f>TRANSICAO!$W$32*CUSTOS!$T$3</f>
        <v>0</v>
      </c>
      <c r="X32" s="12">
        <f>TRANSICAO!$X$32*CUSTOS!$T$3</f>
        <v>0</v>
      </c>
      <c r="Y32" s="12">
        <f>TRANSICAO!$Y$32*CUSTOS!$T$3</f>
        <v>0.12519</v>
      </c>
      <c r="Z32" s="12">
        <f>TRANSICAO!$Z$32*CUSTOS!$T$3</f>
        <v>0</v>
      </c>
      <c r="AA32" s="12">
        <f>TRANSICAO!$AA$32*CUSTOS!$T$3</f>
        <v>0</v>
      </c>
      <c r="AB32" s="12">
        <f>TRANSICAO!$AB$32*CUSTOS!$T$3</f>
        <v>0</v>
      </c>
      <c r="AC32" s="12">
        <f>TRANSICAO!$AC$32*CUSTOS!$T$3</f>
        <v>62.523359999999997</v>
      </c>
      <c r="AD32" s="12">
        <f>TRANSICAO!$AD$32*CUSTOS!$T$3</f>
        <v>0</v>
      </c>
      <c r="AE32" s="12">
        <v>0</v>
      </c>
      <c r="AF32" s="12">
        <v>0</v>
      </c>
      <c r="AG32" s="12"/>
      <c r="AH32" s="12">
        <f>(1 - CUSTOS!$M$28)*25.7023</f>
        <v>25.702300000000001</v>
      </c>
      <c r="AI32" s="12">
        <f>(1 - CUSTOS!$M$28)*25.7023</f>
        <v>25.702300000000001</v>
      </c>
      <c r="AJ32" s="12">
        <f ca="1">$N$64*(1-CUSTOS!$M$28)</f>
        <v>0</v>
      </c>
      <c r="AK32" s="12">
        <f t="shared" ca="1" si="0"/>
        <v>0</v>
      </c>
      <c r="AL32" s="12"/>
      <c r="AM32" s="12"/>
      <c r="AP32" s="12">
        <f>IF((1 - CUSTOS!$M$28)&lt;&gt;0,1/(1 - CUSTOS!$M$28),1)</f>
        <v>1</v>
      </c>
    </row>
    <row r="33" spans="1:42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>
        <f>1*(1 - CUSTOS!$M$28)</f>
        <v>1</v>
      </c>
      <c r="M33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0.59600278811981056</v>
      </c>
      <c r="N33" s="12">
        <f ca="1">(+M33+O33+R33+U33+V33+W33+X33+Y33+Z33+AA33+AC33+AH33+AI33+AJ33+AK33)*CUSTOS!$M$5</f>
        <v>1.6018449278811983E-12</v>
      </c>
      <c r="O33" s="12">
        <f>1 - CUSTOS!$M$28</f>
        <v>1</v>
      </c>
      <c r="P33" s="12">
        <f>1 - CUSTOS!$M$28</f>
        <v>1</v>
      </c>
      <c r="Q33" s="12">
        <f>1*(1 - CUSTOS!$M$28)</f>
        <v>1</v>
      </c>
      <c r="R33" s="12">
        <f>1 - CUSTOS!$M$28</f>
        <v>1</v>
      </c>
      <c r="S33" s="12">
        <f>1 - CUSTOS!$M$28</f>
        <v>1</v>
      </c>
      <c r="T33" s="12"/>
      <c r="U33" s="12">
        <f>TRANSICAO!$U$33*CUSTOS!$T$3</f>
        <v>0</v>
      </c>
      <c r="V33" s="12">
        <f>TRANSICAO!$V$33*CUSTOS!$T$3</f>
        <v>0</v>
      </c>
      <c r="W33" s="12">
        <f>TRANSICAO!$W$33*CUSTOS!$T$3</f>
        <v>0</v>
      </c>
      <c r="X33" s="12">
        <f>TRANSICAO!$X$33*CUSTOS!$T$3</f>
        <v>0</v>
      </c>
      <c r="Y33" s="12">
        <f>TRANSICAO!$Y$33*CUSTOS!$T$3</f>
        <v>0.21212999999999999</v>
      </c>
      <c r="Z33" s="12">
        <f>TRANSICAO!$Z$33*CUSTOS!$T$3</f>
        <v>0</v>
      </c>
      <c r="AA33" s="12">
        <f>TRANSICAO!$AA$33*CUSTOS!$T$3</f>
        <v>0</v>
      </c>
      <c r="AB33" s="12">
        <f>TRANSICAO!$AB$33*CUSTOS!$T$3</f>
        <v>0</v>
      </c>
      <c r="AC33" s="12">
        <f>TRANSICAO!$AC$33*CUSTOS!$T$3</f>
        <v>105.97176</v>
      </c>
      <c r="AD33" s="12">
        <f>TRANSICAO!$AD$33*CUSTOS!$T$3</f>
        <v>0</v>
      </c>
      <c r="AE33" s="12">
        <v>0</v>
      </c>
      <c r="AF33" s="12">
        <v>0</v>
      </c>
      <c r="AG33" s="12"/>
      <c r="AH33" s="12">
        <f>(1 - CUSTOS!$M$28)*25.7023</f>
        <v>25.702300000000001</v>
      </c>
      <c r="AI33" s="12">
        <f>(1 - CUSTOS!$M$28)*25.7023</f>
        <v>25.702300000000001</v>
      </c>
      <c r="AJ33" s="12">
        <f ca="1">$N$64*(1-CUSTOS!$M$28)</f>
        <v>0</v>
      </c>
      <c r="AK33" s="12">
        <f t="shared" ca="1" si="0"/>
        <v>0</v>
      </c>
      <c r="AL33" s="12"/>
      <c r="AM33" s="12"/>
      <c r="AP33" s="12">
        <f>IF((1 - CUSTOS!$M$28)&lt;&gt;0,1/(1 - CUSTOS!$M$28),1)</f>
        <v>1</v>
      </c>
    </row>
    <row r="34" spans="1:42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>
        <f>1*(1 - CUSTOS!$M$29)</f>
        <v>1</v>
      </c>
      <c r="M34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0.59600278811981056</v>
      </c>
      <c r="N34" s="12">
        <f ca="1">(+M34+O34+R34+U34+V34+W34+X34+Y34+Z34+AA34+AC34+AH34+AI34+AJ34+AK34)*CUSTOS!$M$5</f>
        <v>3.6724299278811984E-12</v>
      </c>
      <c r="O34" s="12">
        <f>1 - CUSTOS!$M$29</f>
        <v>1</v>
      </c>
      <c r="P34" s="12">
        <f>1 - CUSTOS!$M$29</f>
        <v>1</v>
      </c>
      <c r="Q34" s="12">
        <f>1*(1 - CUSTOS!$M$29)</f>
        <v>1</v>
      </c>
      <c r="R34" s="12">
        <f>1 - CUSTOS!$M$29</f>
        <v>1</v>
      </c>
      <c r="S34" s="12">
        <f>1 - CUSTOS!$M$29</f>
        <v>1</v>
      </c>
      <c r="T34" s="12"/>
      <c r="U34" s="12">
        <f>TRANSICAO!$U$34*CUSTOS!$T$3</f>
        <v>0</v>
      </c>
      <c r="V34" s="12">
        <f>TRANSICAO!$V$34*CUSTOS!$T$3</f>
        <v>0</v>
      </c>
      <c r="W34" s="12">
        <f>TRANSICAO!$W$34*CUSTOS!$T$3</f>
        <v>0</v>
      </c>
      <c r="X34" s="12">
        <f>TRANSICAO!$X$34*CUSTOS!$T$3</f>
        <v>0</v>
      </c>
      <c r="Y34" s="12">
        <f>TRANSICAO!$Y$34*CUSTOS!$T$3</f>
        <v>0.62568000000000001</v>
      </c>
      <c r="Z34" s="12">
        <f>TRANSICAO!$Z$34*CUSTOS!$T$3</f>
        <v>0</v>
      </c>
      <c r="AA34" s="12">
        <f>TRANSICAO!$AA$34*CUSTOS!$T$3</f>
        <v>0</v>
      </c>
      <c r="AB34" s="12">
        <f>TRANSICAO!$AB$34*CUSTOS!$T$3</f>
        <v>0</v>
      </c>
      <c r="AC34" s="12">
        <f>TRANSICAO!$AC$34*CUSTOS!$T$3</f>
        <v>312.61671000000001</v>
      </c>
      <c r="AD34" s="12">
        <f>TRANSICAO!$AD$34*CUSTOS!$T$3</f>
        <v>0</v>
      </c>
      <c r="AE34" s="12">
        <v>0</v>
      </c>
      <c r="AF34" s="12">
        <v>0</v>
      </c>
      <c r="AG34" s="12"/>
      <c r="AH34" s="12">
        <f>(1 - CUSTOS!$M$29)*25.7023</f>
        <v>25.702300000000001</v>
      </c>
      <c r="AI34" s="12">
        <f>(1 - CUSTOS!$M$29)*25.7023</f>
        <v>25.702300000000001</v>
      </c>
      <c r="AJ34" s="12">
        <f ca="1">$N$64*(1-CUSTOS!$M$29)</f>
        <v>0</v>
      </c>
      <c r="AK34" s="12">
        <f t="shared" ca="1" si="0"/>
        <v>0</v>
      </c>
      <c r="AL34" s="12"/>
      <c r="AM34" s="12"/>
      <c r="AP34" s="12">
        <f>IF((1 - CUSTOS!$M$29)&lt;&gt;0,1/(1 - CUSTOS!$M$29),1)</f>
        <v>1</v>
      </c>
    </row>
    <row r="35" spans="1:42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>
        <f>1*(1 - CUSTOS!$M$29)</f>
        <v>1</v>
      </c>
      <c r="M35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0.59600278811981056</v>
      </c>
      <c r="N35" s="12">
        <f ca="1">(+M35+O35+R35+U35+V35+W35+X35+Y35+Z35+AA35+AC35+AH35+AI35+AJ35+AK35)*CUSTOS!$M$5</f>
        <v>2.4194598278811983E-12</v>
      </c>
      <c r="O35" s="12">
        <f>1 - CUSTOS!$M$29</f>
        <v>1</v>
      </c>
      <c r="P35" s="12">
        <f>1 - CUSTOS!$M$29</f>
        <v>1</v>
      </c>
      <c r="Q35" s="12">
        <f>1*(1 - CUSTOS!$M$29)</f>
        <v>1</v>
      </c>
      <c r="R35" s="12">
        <f>1 - CUSTOS!$M$29</f>
        <v>1</v>
      </c>
      <c r="S35" s="12">
        <f>1 - CUSTOS!$M$29</f>
        <v>1</v>
      </c>
      <c r="T35" s="12"/>
      <c r="U35" s="12">
        <f>TRANSICAO!$U$35*CUSTOS!$T$3</f>
        <v>0</v>
      </c>
      <c r="V35" s="12">
        <f>TRANSICAO!$V$35*CUSTOS!$T$3</f>
        <v>0</v>
      </c>
      <c r="W35" s="12">
        <f>TRANSICAO!$W$35*CUSTOS!$T$3</f>
        <v>0</v>
      </c>
      <c r="X35" s="12">
        <f>TRANSICAO!$X$35*CUSTOS!$T$3</f>
        <v>0</v>
      </c>
      <c r="Y35" s="12">
        <f>TRANSICAO!$Y$35*CUSTOS!$T$3</f>
        <v>0.37529999999999997</v>
      </c>
      <c r="Z35" s="12">
        <f>TRANSICAO!$Z$35*CUSTOS!$T$3</f>
        <v>0</v>
      </c>
      <c r="AA35" s="12">
        <f>TRANSICAO!$AA$35*CUSTOS!$T$3</f>
        <v>0</v>
      </c>
      <c r="AB35" s="12">
        <f>TRANSICAO!$AB$35*CUSTOS!$T$3</f>
        <v>0</v>
      </c>
      <c r="AC35" s="12">
        <f>TRANSICAO!$AC$35*CUSTOS!$T$3</f>
        <v>187.57008000000002</v>
      </c>
      <c r="AD35" s="12">
        <f>TRANSICAO!$AD$35*CUSTOS!$T$3</f>
        <v>0</v>
      </c>
      <c r="AE35" s="12">
        <v>0</v>
      </c>
      <c r="AF35" s="12">
        <v>0</v>
      </c>
      <c r="AG35" s="12"/>
      <c r="AH35" s="12">
        <f>(1 - CUSTOS!$M$29)*25.7023</f>
        <v>25.702300000000001</v>
      </c>
      <c r="AI35" s="12">
        <f>(1 - CUSTOS!$M$29)*25.7023</f>
        <v>25.702300000000001</v>
      </c>
      <c r="AJ35" s="12">
        <f ca="1">$N$64*(1-CUSTOS!$M$29)</f>
        <v>0</v>
      </c>
      <c r="AK35" s="12">
        <f t="shared" ca="1" si="0"/>
        <v>0</v>
      </c>
      <c r="AL35" s="12"/>
      <c r="AM35" s="12"/>
      <c r="AP35" s="12">
        <f>IF((1 - CUSTOS!$M$29)&lt;&gt;0,1/(1 - CUSTOS!$M$29),1)</f>
        <v>1</v>
      </c>
    </row>
    <row r="36" spans="1:42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>
        <f>1*(1 - CUSTOS!$M$29)</f>
        <v>1</v>
      </c>
      <c r="M36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0.59600278811981056</v>
      </c>
      <c r="N36" s="12">
        <f ca="1">(+M36+O36+R36+U36+V36+W36+X36+Y36+Z36+AA36+AC36+AH36+AI36+AJ36+AK36)*CUSTOS!$M$5</f>
        <v>1.166491527881198E-12</v>
      </c>
      <c r="O36" s="12">
        <f>1 - CUSTOS!$M$29</f>
        <v>1</v>
      </c>
      <c r="P36" s="12">
        <f>1 - CUSTOS!$M$29</f>
        <v>1</v>
      </c>
      <c r="Q36" s="12">
        <f>1*(1 - CUSTOS!$M$29)</f>
        <v>1</v>
      </c>
      <c r="R36" s="12">
        <f>1 - CUSTOS!$M$29</f>
        <v>1</v>
      </c>
      <c r="S36" s="12">
        <f>1 - CUSTOS!$M$29</f>
        <v>1</v>
      </c>
      <c r="T36" s="12"/>
      <c r="U36" s="12">
        <f>TRANSICAO!$U$36*CUSTOS!$T$3</f>
        <v>0</v>
      </c>
      <c r="V36" s="12">
        <f>TRANSICAO!$V$36*CUSTOS!$T$3</f>
        <v>0</v>
      </c>
      <c r="W36" s="12">
        <f>TRANSICAO!$W$36*CUSTOS!$T$3</f>
        <v>0</v>
      </c>
      <c r="X36" s="12">
        <f>TRANSICAO!$X$36*CUSTOS!$T$3</f>
        <v>0</v>
      </c>
      <c r="Y36" s="12">
        <f>TRANSICAO!$Y$36*CUSTOS!$T$3</f>
        <v>0.12519</v>
      </c>
      <c r="Z36" s="12">
        <f>TRANSICAO!$Z$36*CUSTOS!$T$3</f>
        <v>0</v>
      </c>
      <c r="AA36" s="12">
        <f>TRANSICAO!$AA$36*CUSTOS!$T$3</f>
        <v>0</v>
      </c>
      <c r="AB36" s="12">
        <f>TRANSICAO!$AB$36*CUSTOS!$T$3</f>
        <v>0</v>
      </c>
      <c r="AC36" s="12">
        <f>TRANSICAO!$AC$36*CUSTOS!$T$3</f>
        <v>62.523359999999997</v>
      </c>
      <c r="AD36" s="12">
        <f>TRANSICAO!$AD$36*CUSTOS!$T$3</f>
        <v>0</v>
      </c>
      <c r="AE36" s="12">
        <v>0</v>
      </c>
      <c r="AF36" s="12">
        <v>0</v>
      </c>
      <c r="AG36" s="12"/>
      <c r="AH36" s="12">
        <f>(1 - CUSTOS!$M$29)*25.7023</f>
        <v>25.702300000000001</v>
      </c>
      <c r="AI36" s="12">
        <f>(1 - CUSTOS!$M$29)*25.7023</f>
        <v>25.702300000000001</v>
      </c>
      <c r="AJ36" s="12">
        <f ca="1">$N$64*(1-CUSTOS!$M$29)</f>
        <v>0</v>
      </c>
      <c r="AK36" s="12">
        <f t="shared" ca="1" si="0"/>
        <v>0</v>
      </c>
      <c r="AL36" s="12"/>
      <c r="AM36" s="12"/>
      <c r="AP36" s="12">
        <f>IF((1 - CUSTOS!$M$29)&lt;&gt;0,1/(1 - CUSTOS!$M$29),1)</f>
        <v>1</v>
      </c>
    </row>
    <row r="37" spans="1:42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>
        <f>1*(1 - CUSTOS!$M$29)</f>
        <v>1</v>
      </c>
      <c r="M37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0.59600278811981056</v>
      </c>
      <c r="N37" s="12">
        <f ca="1">(+M37+O37+R37+U37+V37+W37+X37+Y37+Z37+AA37+AC37+AH37+AI37+AJ37+AK37)*CUSTOS!$M$5</f>
        <v>1.6018449278811983E-12</v>
      </c>
      <c r="O37" s="12">
        <f>1 - CUSTOS!$M$29</f>
        <v>1</v>
      </c>
      <c r="P37" s="12">
        <f>1 - CUSTOS!$M$29</f>
        <v>1</v>
      </c>
      <c r="Q37" s="12">
        <f>1*(1 - CUSTOS!$M$29)</f>
        <v>1</v>
      </c>
      <c r="R37" s="12">
        <f>1 - CUSTOS!$M$29</f>
        <v>1</v>
      </c>
      <c r="S37" s="12">
        <f>1 - CUSTOS!$M$29</f>
        <v>1</v>
      </c>
      <c r="T37" s="12"/>
      <c r="U37" s="12">
        <f>TRANSICAO!$U$37*CUSTOS!$T$3</f>
        <v>0</v>
      </c>
      <c r="V37" s="12">
        <f>TRANSICAO!$V$37*CUSTOS!$T$3</f>
        <v>0</v>
      </c>
      <c r="W37" s="12">
        <f>TRANSICAO!$W$37*CUSTOS!$T$3</f>
        <v>0</v>
      </c>
      <c r="X37" s="12">
        <f>TRANSICAO!$X$37*CUSTOS!$T$3</f>
        <v>0</v>
      </c>
      <c r="Y37" s="12">
        <f>TRANSICAO!$Y$37*CUSTOS!$T$3</f>
        <v>0.21212999999999999</v>
      </c>
      <c r="Z37" s="12">
        <f>TRANSICAO!$Z$37*CUSTOS!$T$3</f>
        <v>0</v>
      </c>
      <c r="AA37" s="12">
        <f>TRANSICAO!$AA$37*CUSTOS!$T$3</f>
        <v>0</v>
      </c>
      <c r="AB37" s="12">
        <f>TRANSICAO!$AB$37*CUSTOS!$T$3</f>
        <v>0</v>
      </c>
      <c r="AC37" s="12">
        <f>TRANSICAO!$AC$37*CUSTOS!$T$3</f>
        <v>105.97176</v>
      </c>
      <c r="AD37" s="12">
        <f>TRANSICAO!$AD$37*CUSTOS!$T$3</f>
        <v>0</v>
      </c>
      <c r="AE37" s="12">
        <v>0</v>
      </c>
      <c r="AF37" s="12">
        <v>0</v>
      </c>
      <c r="AG37" s="12"/>
      <c r="AH37" s="12">
        <f>(1 - CUSTOS!$M$29)*25.7023</f>
        <v>25.702300000000001</v>
      </c>
      <c r="AI37" s="12">
        <f>(1 - CUSTOS!$M$29)*25.7023</f>
        <v>25.702300000000001</v>
      </c>
      <c r="AJ37" s="12">
        <f ca="1">$N$64*(1-CUSTOS!$M$29)</f>
        <v>0</v>
      </c>
      <c r="AK37" s="12">
        <f t="shared" ca="1" si="0"/>
        <v>0</v>
      </c>
      <c r="AL37" s="12"/>
      <c r="AM37" s="12"/>
      <c r="AP37" s="12">
        <f>IF((1 - CUSTOS!$M$29)&lt;&gt;0,1/(1 - CUSTOS!$M$29),1)</f>
        <v>1</v>
      </c>
    </row>
    <row r="38" spans="1:42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>
        <f>1*(1 - CUSTOS!$M$30)</f>
        <v>1</v>
      </c>
      <c r="M38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0.59600278811981056</v>
      </c>
      <c r="N38" s="12">
        <f ca="1">(+M38+O38+R38+U38+V38+W38+X38+Y38+Z38+AA38+AC38+AH38+AI38+AJ38+AK38)*CUSTOS!$M$5</f>
        <v>3.6724299278811984E-12</v>
      </c>
      <c r="O38" s="12">
        <f>1 - CUSTOS!$M$30</f>
        <v>1</v>
      </c>
      <c r="P38" s="12">
        <f>1 - CUSTOS!$M$30</f>
        <v>1</v>
      </c>
      <c r="Q38" s="12">
        <f>1*(1 - CUSTOS!$M$30)</f>
        <v>1</v>
      </c>
      <c r="R38" s="12">
        <f>1 - CUSTOS!$M$30</f>
        <v>1</v>
      </c>
      <c r="S38" s="12">
        <f>1 - CUSTOS!$M$30</f>
        <v>1</v>
      </c>
      <c r="T38" s="12"/>
      <c r="U38" s="12">
        <f>TRANSICAO!$U$38*CUSTOS!$T$3</f>
        <v>0</v>
      </c>
      <c r="V38" s="12">
        <f>TRANSICAO!$V$38*CUSTOS!$T$3</f>
        <v>0</v>
      </c>
      <c r="W38" s="12">
        <f>TRANSICAO!$W$38*CUSTOS!$T$3</f>
        <v>0</v>
      </c>
      <c r="X38" s="12">
        <f>TRANSICAO!$X$38*CUSTOS!$T$3</f>
        <v>0</v>
      </c>
      <c r="Y38" s="12">
        <f>TRANSICAO!$Y$38*CUSTOS!$T$3</f>
        <v>0.62568000000000001</v>
      </c>
      <c r="Z38" s="12">
        <f>TRANSICAO!$Z$38*CUSTOS!$T$3</f>
        <v>0</v>
      </c>
      <c r="AA38" s="12">
        <f>TRANSICAO!$AA$38*CUSTOS!$T$3</f>
        <v>0</v>
      </c>
      <c r="AB38" s="12">
        <f>TRANSICAO!$AB$38*CUSTOS!$T$3</f>
        <v>0</v>
      </c>
      <c r="AC38" s="12">
        <f>TRANSICAO!$AC$38*CUSTOS!$T$3</f>
        <v>312.61671000000001</v>
      </c>
      <c r="AD38" s="12">
        <f>TRANSICAO!$AD$38*CUSTOS!$T$3</f>
        <v>0</v>
      </c>
      <c r="AE38" s="12">
        <v>0</v>
      </c>
      <c r="AF38" s="12">
        <v>0</v>
      </c>
      <c r="AG38" s="12"/>
      <c r="AH38" s="12">
        <f>(1 - CUSTOS!$M$30)*25.7023</f>
        <v>25.702300000000001</v>
      </c>
      <c r="AI38" s="12">
        <f>(1 - CUSTOS!$M$30)*25.7023</f>
        <v>25.702300000000001</v>
      </c>
      <c r="AJ38" s="12">
        <f ca="1">$N$64*(1-CUSTOS!$M$30)</f>
        <v>0</v>
      </c>
      <c r="AK38" s="12">
        <f t="shared" ca="1" si="0"/>
        <v>0</v>
      </c>
      <c r="AL38" s="12"/>
      <c r="AM38" s="12"/>
      <c r="AP38" s="12">
        <f>IF((1 - CUSTOS!$M$30)&lt;&gt;0,1/(1 - CUSTOS!$M$30),1)</f>
        <v>1</v>
      </c>
    </row>
    <row r="39" spans="1:42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>
        <f>1*(1 - CUSTOS!$M$30)</f>
        <v>1</v>
      </c>
      <c r="M39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0.59600278811981056</v>
      </c>
      <c r="N39" s="12">
        <f ca="1">(+M39+O39+R39+U39+V39+W39+X39+Y39+Z39+AA39+AC39+AH39+AI39+AJ39+AK39)*CUSTOS!$M$5</f>
        <v>2.4194598278811983E-12</v>
      </c>
      <c r="O39" s="12">
        <f>1 - CUSTOS!$M$30</f>
        <v>1</v>
      </c>
      <c r="P39" s="12">
        <f>1 - CUSTOS!$M$30</f>
        <v>1</v>
      </c>
      <c r="Q39" s="12">
        <f>1*(1 - CUSTOS!$M$30)</f>
        <v>1</v>
      </c>
      <c r="R39" s="12">
        <f>1 - CUSTOS!$M$30</f>
        <v>1</v>
      </c>
      <c r="S39" s="12">
        <f>1 - CUSTOS!$M$30</f>
        <v>1</v>
      </c>
      <c r="T39" s="12"/>
      <c r="U39" s="12">
        <f>TRANSICAO!$U$39*CUSTOS!$T$3</f>
        <v>0</v>
      </c>
      <c r="V39" s="12">
        <f>TRANSICAO!$V$39*CUSTOS!$T$3</f>
        <v>0</v>
      </c>
      <c r="W39" s="12">
        <f>TRANSICAO!$W$39*CUSTOS!$T$3</f>
        <v>0</v>
      </c>
      <c r="X39" s="12">
        <f>TRANSICAO!$X$39*CUSTOS!$T$3</f>
        <v>0</v>
      </c>
      <c r="Y39" s="12">
        <f>TRANSICAO!$Y$39*CUSTOS!$T$3</f>
        <v>0.37529999999999997</v>
      </c>
      <c r="Z39" s="12">
        <f>TRANSICAO!$Z$39*CUSTOS!$T$3</f>
        <v>0</v>
      </c>
      <c r="AA39" s="12">
        <f>TRANSICAO!$AA$39*CUSTOS!$T$3</f>
        <v>0</v>
      </c>
      <c r="AB39" s="12">
        <f>TRANSICAO!$AB$39*CUSTOS!$T$3</f>
        <v>0</v>
      </c>
      <c r="AC39" s="12">
        <f>TRANSICAO!$AC$39*CUSTOS!$T$3</f>
        <v>187.57008000000002</v>
      </c>
      <c r="AD39" s="12">
        <f>TRANSICAO!$AD$39*CUSTOS!$T$3</f>
        <v>0</v>
      </c>
      <c r="AE39" s="12">
        <v>0</v>
      </c>
      <c r="AF39" s="12">
        <v>0</v>
      </c>
      <c r="AG39" s="12"/>
      <c r="AH39" s="12">
        <f>(1 - CUSTOS!$M$30)*25.7023</f>
        <v>25.702300000000001</v>
      </c>
      <c r="AI39" s="12">
        <f>(1 - CUSTOS!$M$30)*25.7023</f>
        <v>25.702300000000001</v>
      </c>
      <c r="AJ39" s="12">
        <f ca="1">$N$64*(1-CUSTOS!$M$30)</f>
        <v>0</v>
      </c>
      <c r="AK39" s="12">
        <f t="shared" ca="1" si="0"/>
        <v>0</v>
      </c>
      <c r="AL39" s="12"/>
      <c r="AM39" s="12"/>
      <c r="AP39" s="12">
        <f>IF((1 - CUSTOS!$M$30)&lt;&gt;0,1/(1 - CUSTOS!$M$30),1)</f>
        <v>1</v>
      </c>
    </row>
    <row r="40" spans="1:42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>
        <f>1*(1 - CUSTOS!$M$30)</f>
        <v>1</v>
      </c>
      <c r="M40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0.59600278811981056</v>
      </c>
      <c r="N40" s="12">
        <f ca="1">(+M40+O40+R40+U40+V40+W40+X40+Y40+Z40+AA40+AC40+AH40+AI40+AJ40+AK40)*CUSTOS!$M$5</f>
        <v>1.166491527881198E-12</v>
      </c>
      <c r="O40" s="12">
        <f>1 - CUSTOS!$M$30</f>
        <v>1</v>
      </c>
      <c r="P40" s="12">
        <f>1 - CUSTOS!$M$30</f>
        <v>1</v>
      </c>
      <c r="Q40" s="12">
        <f>1*(1 - CUSTOS!$M$30)</f>
        <v>1</v>
      </c>
      <c r="R40" s="12">
        <f>1 - CUSTOS!$M$30</f>
        <v>1</v>
      </c>
      <c r="S40" s="12">
        <f>1 - CUSTOS!$M$30</f>
        <v>1</v>
      </c>
      <c r="T40" s="12"/>
      <c r="U40" s="12">
        <f>TRANSICAO!$U$40*CUSTOS!$T$3</f>
        <v>0</v>
      </c>
      <c r="V40" s="12">
        <f>TRANSICAO!$V$40*CUSTOS!$T$3</f>
        <v>0</v>
      </c>
      <c r="W40" s="12">
        <f>TRANSICAO!$W$40*CUSTOS!$T$3</f>
        <v>0</v>
      </c>
      <c r="X40" s="12">
        <f>TRANSICAO!$X$40*CUSTOS!$T$3</f>
        <v>0</v>
      </c>
      <c r="Y40" s="12">
        <f>TRANSICAO!$Y$40*CUSTOS!$T$3</f>
        <v>0.12519</v>
      </c>
      <c r="Z40" s="12">
        <f>TRANSICAO!$Z$40*CUSTOS!$T$3</f>
        <v>0</v>
      </c>
      <c r="AA40" s="12">
        <f>TRANSICAO!$AA$40*CUSTOS!$T$3</f>
        <v>0</v>
      </c>
      <c r="AB40" s="12">
        <f>TRANSICAO!$AB$40*CUSTOS!$T$3</f>
        <v>0</v>
      </c>
      <c r="AC40" s="12">
        <f>TRANSICAO!$AC$40*CUSTOS!$T$3</f>
        <v>62.523359999999997</v>
      </c>
      <c r="AD40" s="12">
        <f>TRANSICAO!$AD$40*CUSTOS!$T$3</f>
        <v>0</v>
      </c>
      <c r="AE40" s="12">
        <v>0</v>
      </c>
      <c r="AF40" s="12">
        <v>0</v>
      </c>
      <c r="AG40" s="12"/>
      <c r="AH40" s="12">
        <f>(1 - CUSTOS!$M$30)*25.7023</f>
        <v>25.702300000000001</v>
      </c>
      <c r="AI40" s="12">
        <f>(1 - CUSTOS!$M$30)*25.7023</f>
        <v>25.702300000000001</v>
      </c>
      <c r="AJ40" s="12">
        <f ca="1">$N$64*(1-CUSTOS!$M$30)</f>
        <v>0</v>
      </c>
      <c r="AK40" s="12">
        <f t="shared" ca="1" si="0"/>
        <v>0</v>
      </c>
      <c r="AL40" s="12"/>
      <c r="AM40" s="12"/>
      <c r="AP40" s="12">
        <f>IF((1 - CUSTOS!$M$30)&lt;&gt;0,1/(1 - CUSTOS!$M$30),1)</f>
        <v>1</v>
      </c>
    </row>
    <row r="41" spans="1:42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>
        <f>1*(1 - CUSTOS!$M$30)</f>
        <v>1</v>
      </c>
      <c r="M41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0.59600278811981056</v>
      </c>
      <c r="N41" s="12">
        <f ca="1">(+M41+O41+R41+U41+V41+W41+X41+Y41+Z41+AA41+AC41+AH41+AI41+AJ41+AK41)*CUSTOS!$M$5</f>
        <v>1.6018449278811983E-12</v>
      </c>
      <c r="O41" s="12">
        <f>1 - CUSTOS!$M$30</f>
        <v>1</v>
      </c>
      <c r="P41" s="12">
        <f>1 - CUSTOS!$M$30</f>
        <v>1</v>
      </c>
      <c r="Q41" s="12">
        <f>1*(1 - CUSTOS!$M$30)</f>
        <v>1</v>
      </c>
      <c r="R41" s="12">
        <f>1 - CUSTOS!$M$30</f>
        <v>1</v>
      </c>
      <c r="S41" s="12">
        <f>1 - CUSTOS!$M$30</f>
        <v>1</v>
      </c>
      <c r="T41" s="12"/>
      <c r="U41" s="12">
        <f>TRANSICAO!$U$41*CUSTOS!$T$3</f>
        <v>0</v>
      </c>
      <c r="V41" s="12">
        <f>TRANSICAO!$V$41*CUSTOS!$T$3</f>
        <v>0</v>
      </c>
      <c r="W41" s="12">
        <f>TRANSICAO!$W$41*CUSTOS!$T$3</f>
        <v>0</v>
      </c>
      <c r="X41" s="12">
        <f>TRANSICAO!$X$41*CUSTOS!$T$3</f>
        <v>0</v>
      </c>
      <c r="Y41" s="12">
        <f>TRANSICAO!$Y$41*CUSTOS!$T$3</f>
        <v>0.21212999999999999</v>
      </c>
      <c r="Z41" s="12">
        <f>TRANSICAO!$Z$41*CUSTOS!$T$3</f>
        <v>0</v>
      </c>
      <c r="AA41" s="12">
        <f>TRANSICAO!$AA$41*CUSTOS!$T$3</f>
        <v>0</v>
      </c>
      <c r="AB41" s="12">
        <f>TRANSICAO!$AB$41*CUSTOS!$T$3</f>
        <v>0</v>
      </c>
      <c r="AC41" s="12">
        <f>TRANSICAO!$AC$41*CUSTOS!$T$3</f>
        <v>105.97176</v>
      </c>
      <c r="AD41" s="12">
        <f>TRANSICAO!$AD$41*CUSTOS!$T$3</f>
        <v>0</v>
      </c>
      <c r="AE41" s="12">
        <v>0</v>
      </c>
      <c r="AF41" s="12">
        <v>0</v>
      </c>
      <c r="AG41" s="12"/>
      <c r="AH41" s="12">
        <f>(1 - CUSTOS!$M$30)*25.7023</f>
        <v>25.702300000000001</v>
      </c>
      <c r="AI41" s="12">
        <f>(1 - CUSTOS!$M$30)*25.7023</f>
        <v>25.702300000000001</v>
      </c>
      <c r="AJ41" s="12">
        <f ca="1">$N$64*(1-CUSTOS!$M$30)</f>
        <v>0</v>
      </c>
      <c r="AK41" s="12">
        <f t="shared" ca="1" si="0"/>
        <v>0</v>
      </c>
      <c r="AL41" s="12"/>
      <c r="AM41" s="12"/>
      <c r="AP41" s="12">
        <f>IF((1 - CUSTOS!$M$30)&lt;&gt;0,1/(1 - CUSTOS!$M$30),1)</f>
        <v>1</v>
      </c>
    </row>
    <row r="42" spans="1:42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>
        <f>1*(1 - CUSTOS!$M$28)</f>
        <v>1</v>
      </c>
      <c r="M42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0.59600278811981056</v>
      </c>
      <c r="N42" s="12">
        <f ca="1">(+M42+O42+R42+U42+V42+W42+X42+Y42+Z42+AA42+AC42+AH42+AI42+AJ42+AK42)*CUSTOS!$M$5</f>
        <v>1.6018449278811983E-12</v>
      </c>
      <c r="O42" s="12">
        <f>1 - CUSTOS!$M$28</f>
        <v>1</v>
      </c>
      <c r="P42" s="12">
        <f>1 - CUSTOS!$M$28</f>
        <v>1</v>
      </c>
      <c r="Q42" s="12">
        <f>1*(1 - CUSTOS!$M$28)</f>
        <v>1</v>
      </c>
      <c r="R42" s="12">
        <f>1 - CUSTOS!$M$28</f>
        <v>1</v>
      </c>
      <c r="S42" s="12">
        <f>1 - CUSTOS!$M$28</f>
        <v>1</v>
      </c>
      <c r="T42" s="12"/>
      <c r="U42" s="12">
        <f>TRANSICAO!$U$42*CUSTOS!$T$3</f>
        <v>0</v>
      </c>
      <c r="V42" s="12">
        <f>TRANSICAO!$V$42*CUSTOS!$T$3</f>
        <v>0</v>
      </c>
      <c r="W42" s="12">
        <f>TRANSICAO!$W$42*CUSTOS!$T$3</f>
        <v>0</v>
      </c>
      <c r="X42" s="12">
        <f>TRANSICAO!$X$42*CUSTOS!$T$3</f>
        <v>0</v>
      </c>
      <c r="Y42" s="12">
        <f>TRANSICAO!$Y$42*CUSTOS!$T$3</f>
        <v>0.21212999999999999</v>
      </c>
      <c r="Z42" s="12">
        <f>TRANSICAO!$Z$42*CUSTOS!$T$3</f>
        <v>0</v>
      </c>
      <c r="AA42" s="12">
        <f>TRANSICAO!$AA$42*CUSTOS!$T$3</f>
        <v>0</v>
      </c>
      <c r="AB42" s="12">
        <f>TRANSICAO!$AB$42*CUSTOS!$T$3</f>
        <v>0</v>
      </c>
      <c r="AC42" s="12">
        <f>TRANSICAO!$AC$42*CUSTOS!$T$3</f>
        <v>105.97176</v>
      </c>
      <c r="AD42" s="12">
        <f>TRANSICAO!$AD$42*CUSTOS!$T$3</f>
        <v>0</v>
      </c>
      <c r="AE42" s="12">
        <v>0</v>
      </c>
      <c r="AF42" s="12">
        <v>0</v>
      </c>
      <c r="AG42" s="12"/>
      <c r="AH42" s="12">
        <f>(1 - CUSTOS!$M$28)*25.7023</f>
        <v>25.702300000000001</v>
      </c>
      <c r="AI42" s="12">
        <f>(1 - CUSTOS!$M$28)*25.7023</f>
        <v>25.702300000000001</v>
      </c>
      <c r="AJ42" s="12">
        <f ca="1">$N$64*(1-CUSTOS!$M$28)</f>
        <v>0</v>
      </c>
      <c r="AK42" s="12">
        <f t="shared" ca="1" si="0"/>
        <v>0</v>
      </c>
      <c r="AL42" s="12"/>
      <c r="AM42" s="12"/>
      <c r="AP42" s="12">
        <f>IF((1 - CUSTOS!$M$28)&lt;&gt;0,1/(1 - CUSTOS!$M$28),1)</f>
        <v>1</v>
      </c>
    </row>
    <row r="43" spans="1:42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>
        <f>1*(1 - CUSTOS!$M$29)</f>
        <v>1</v>
      </c>
      <c r="M43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0.59600278811981056</v>
      </c>
      <c r="N43" s="12">
        <f ca="1">(+M43+O43+R43+U43+V43+W43+X43+Y43+Z43+AA43+AC43+AH43+AI43+AJ43+AK43)*CUSTOS!$M$5</f>
        <v>1.6018449278811983E-12</v>
      </c>
      <c r="O43" s="12">
        <f>1 - CUSTOS!$M$29</f>
        <v>1</v>
      </c>
      <c r="P43" s="12">
        <f>1 - CUSTOS!$M$29</f>
        <v>1</v>
      </c>
      <c r="Q43" s="12">
        <f>1*(1 - CUSTOS!$M$29)</f>
        <v>1</v>
      </c>
      <c r="R43" s="12">
        <f>1 - CUSTOS!$M$29</f>
        <v>1</v>
      </c>
      <c r="S43" s="12">
        <f>1 - CUSTOS!$M$29</f>
        <v>1</v>
      </c>
      <c r="T43" s="12"/>
      <c r="U43" s="12">
        <f>TRANSICAO!$U$43*CUSTOS!$T$3</f>
        <v>0</v>
      </c>
      <c r="V43" s="12">
        <f>TRANSICAO!$V$43*CUSTOS!$T$3</f>
        <v>0</v>
      </c>
      <c r="W43" s="12">
        <f>TRANSICAO!$W$43*CUSTOS!$T$3</f>
        <v>0</v>
      </c>
      <c r="X43" s="12">
        <f>TRANSICAO!$X$43*CUSTOS!$T$3</f>
        <v>0</v>
      </c>
      <c r="Y43" s="12">
        <f>TRANSICAO!$Y$43*CUSTOS!$T$3</f>
        <v>0.21212999999999999</v>
      </c>
      <c r="Z43" s="12">
        <f>TRANSICAO!$Z$43*CUSTOS!$T$3</f>
        <v>0</v>
      </c>
      <c r="AA43" s="12">
        <f>TRANSICAO!$AA$43*CUSTOS!$T$3</f>
        <v>0</v>
      </c>
      <c r="AB43" s="12">
        <f>TRANSICAO!$AB$43*CUSTOS!$T$3</f>
        <v>0</v>
      </c>
      <c r="AC43" s="12">
        <f>TRANSICAO!$AC$43*CUSTOS!$T$3</f>
        <v>105.97176</v>
      </c>
      <c r="AD43" s="12">
        <f>TRANSICAO!$AD$43*CUSTOS!$T$3</f>
        <v>0</v>
      </c>
      <c r="AE43" s="12">
        <v>0</v>
      </c>
      <c r="AF43" s="12">
        <v>0</v>
      </c>
      <c r="AG43" s="12"/>
      <c r="AH43" s="12">
        <f>(1 - CUSTOS!$M$29)*25.7023</f>
        <v>25.702300000000001</v>
      </c>
      <c r="AI43" s="12">
        <f>(1 - CUSTOS!$M$29)*25.7023</f>
        <v>25.702300000000001</v>
      </c>
      <c r="AJ43" s="12">
        <f ca="1">$N$64*(1-CUSTOS!$M$29)</f>
        <v>0</v>
      </c>
      <c r="AK43" s="12">
        <f t="shared" ca="1" si="0"/>
        <v>0</v>
      </c>
      <c r="AL43" s="12"/>
      <c r="AM43" s="12"/>
      <c r="AP43" s="12">
        <f>IF((1 - CUSTOS!$M$29)&lt;&gt;0,1/(1 - CUSTOS!$M$29),1)</f>
        <v>1</v>
      </c>
    </row>
    <row r="44" spans="1:42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>
        <f>1*(1 - CUSTOS!$M$30)</f>
        <v>1</v>
      </c>
      <c r="M44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0.59600278811981056</v>
      </c>
      <c r="N44" s="12">
        <f ca="1">(+M44+O44+R44+U44+V44+W44+X44+Y44+Z44+AA44+AC44+AH44+AI44+AJ44+AK44)*CUSTOS!$M$5</f>
        <v>1.6018449278811983E-12</v>
      </c>
      <c r="O44" s="12">
        <f>1 - CUSTOS!$M$30</f>
        <v>1</v>
      </c>
      <c r="P44" s="12">
        <f>1 - CUSTOS!$M$30</f>
        <v>1</v>
      </c>
      <c r="Q44" s="12">
        <f>1*(1 - CUSTOS!$M$30)</f>
        <v>1</v>
      </c>
      <c r="R44" s="12">
        <f>1 - CUSTOS!$M$30</f>
        <v>1</v>
      </c>
      <c r="S44" s="12">
        <f>1 - CUSTOS!$M$30</f>
        <v>1</v>
      </c>
      <c r="T44" s="12"/>
      <c r="U44" s="12">
        <f>TRANSICAO!$U$44*CUSTOS!$T$3</f>
        <v>0</v>
      </c>
      <c r="V44" s="12">
        <f>TRANSICAO!$V$44*CUSTOS!$T$3</f>
        <v>0</v>
      </c>
      <c r="W44" s="12">
        <f>TRANSICAO!$W$44*CUSTOS!$T$3</f>
        <v>0</v>
      </c>
      <c r="X44" s="12">
        <f>TRANSICAO!$X$44*CUSTOS!$T$3</f>
        <v>0</v>
      </c>
      <c r="Y44" s="12">
        <f>TRANSICAO!$Y$44*CUSTOS!$T$3</f>
        <v>0.21212999999999999</v>
      </c>
      <c r="Z44" s="12">
        <f>TRANSICAO!$Z$44*CUSTOS!$T$3</f>
        <v>0</v>
      </c>
      <c r="AA44" s="12">
        <f>TRANSICAO!$AA$44*CUSTOS!$T$3</f>
        <v>0</v>
      </c>
      <c r="AB44" s="12">
        <f>TRANSICAO!$AB$44*CUSTOS!$T$3</f>
        <v>0</v>
      </c>
      <c r="AC44" s="12">
        <f>TRANSICAO!$AC$44*CUSTOS!$T$3</f>
        <v>105.97176</v>
      </c>
      <c r="AD44" s="12">
        <f>TRANSICAO!$AD$44*CUSTOS!$T$3</f>
        <v>0</v>
      </c>
      <c r="AE44" s="12">
        <v>0</v>
      </c>
      <c r="AF44" s="12">
        <v>0</v>
      </c>
      <c r="AG44" s="12"/>
      <c r="AH44" s="12">
        <f>(1 - CUSTOS!$M$30)*25.7023</f>
        <v>25.702300000000001</v>
      </c>
      <c r="AI44" s="12">
        <f>(1 - CUSTOS!$M$30)*25.7023</f>
        <v>25.702300000000001</v>
      </c>
      <c r="AJ44" s="12">
        <f ca="1">$N$64*(1-CUSTOS!$M$30)</f>
        <v>0</v>
      </c>
      <c r="AK44" s="12">
        <f t="shared" ca="1" si="0"/>
        <v>0</v>
      </c>
      <c r="AL44" s="12"/>
      <c r="AM44" s="12"/>
      <c r="AP44" s="12">
        <f>IF((1 - CUSTOS!$M$30)&lt;&gt;0,1/(1 - CUSTOS!$M$30),1)</f>
        <v>1</v>
      </c>
    </row>
    <row r="45" spans="1:42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>
        <f>1*(1 - CUSTOS!$M$31)</f>
        <v>1</v>
      </c>
      <c r="M45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0.59600278811981056</v>
      </c>
      <c r="N45" s="12">
        <f ca="1">(+M45+O45+R45+U45+V45+W45+X45+Y45+Z45+AA45+AC45+AH45+AI45+AJ45+AK45)*CUSTOS!$M$5</f>
        <v>4.1502570278811981E-12</v>
      </c>
      <c r="O45" s="12">
        <f>1 - CUSTOS!$M$31</f>
        <v>1</v>
      </c>
      <c r="P45" s="12">
        <f>1 - CUSTOS!$M$31</f>
        <v>1</v>
      </c>
      <c r="Q45" s="12">
        <f>1*(1 - CUSTOS!$M$31)</f>
        <v>1</v>
      </c>
      <c r="R45" s="12">
        <f>1 - CUSTOS!$M$31</f>
        <v>1</v>
      </c>
      <c r="S45" s="12">
        <f>1 - CUSTOS!$M$31</f>
        <v>1</v>
      </c>
      <c r="T45" s="12"/>
      <c r="U45" s="12">
        <f>TRANSICAO!$U$45*CUSTOS!$T$3</f>
        <v>0</v>
      </c>
      <c r="V45" s="12">
        <f>TRANSICAO!$V$45*CUSTOS!$T$3</f>
        <v>0</v>
      </c>
      <c r="W45" s="12">
        <f>TRANSICAO!$W$45*CUSTOS!$T$3</f>
        <v>0</v>
      </c>
      <c r="X45" s="12">
        <f>TRANSICAO!$X$45*CUSTOS!$T$3</f>
        <v>0</v>
      </c>
      <c r="Y45" s="12">
        <f>TRANSICAO!$Y$45*CUSTOS!$T$3</f>
        <v>0.72108000000000005</v>
      </c>
      <c r="Z45" s="12">
        <f>TRANSICAO!$Z$45*CUSTOS!$T$3</f>
        <v>0</v>
      </c>
      <c r="AA45" s="12">
        <f>TRANSICAO!$AA$45*CUSTOS!$T$3</f>
        <v>0</v>
      </c>
      <c r="AB45" s="12">
        <f>TRANSICAO!$AB$45*CUSTOS!$T$3</f>
        <v>0</v>
      </c>
      <c r="AC45" s="12">
        <f>TRANSICAO!$AC$45*CUSTOS!$T$3</f>
        <v>360.30402000000004</v>
      </c>
      <c r="AD45" s="12">
        <f>TRANSICAO!$AD$45*CUSTOS!$T$3</f>
        <v>0</v>
      </c>
      <c r="AE45" s="12">
        <v>0</v>
      </c>
      <c r="AF45" s="12">
        <v>0</v>
      </c>
      <c r="AG45" s="12"/>
      <c r="AH45" s="12">
        <f>(1 - CUSTOS!$M$31)*25.7023</f>
        <v>25.702300000000001</v>
      </c>
      <c r="AI45" s="12">
        <f>(1 - CUSTOS!$M$31)*25.7023</f>
        <v>25.702300000000001</v>
      </c>
      <c r="AJ45" s="12">
        <f ca="1">$N$64*(1-CUSTOS!$M$31)</f>
        <v>0</v>
      </c>
      <c r="AK45" s="12">
        <f t="shared" ca="1" si="0"/>
        <v>0</v>
      </c>
      <c r="AL45" s="12"/>
      <c r="AM45" s="12"/>
      <c r="AP45" s="12">
        <f>IF((1 - CUSTOS!$M$31)&lt;&gt;0,1/(1 - CUSTOS!$M$31),1)</f>
        <v>1</v>
      </c>
    </row>
    <row r="46" spans="1:42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>
        <f>1*(1 - CUSTOS!$M$31)</f>
        <v>1</v>
      </c>
      <c r="M46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0.59600278811981056</v>
      </c>
      <c r="N46" s="12">
        <f ca="1">(+M46+O46+R46+U46+V46+W46+X46+Y46+Z46+AA46+AC46+AH46+AI46+AJ46+AK46)*CUSTOS!$M$5</f>
        <v>2.7061566278811984E-12</v>
      </c>
      <c r="O46" s="12">
        <f>1 - CUSTOS!$M$31</f>
        <v>1</v>
      </c>
      <c r="P46" s="12">
        <f>1 - CUSTOS!$M$31</f>
        <v>1</v>
      </c>
      <c r="Q46" s="12">
        <f>1*(1 - CUSTOS!$M$31)</f>
        <v>1</v>
      </c>
      <c r="R46" s="12">
        <f>1 - CUSTOS!$M$31</f>
        <v>1</v>
      </c>
      <c r="S46" s="12">
        <f>1 - CUSTOS!$M$31</f>
        <v>1</v>
      </c>
      <c r="T46" s="12"/>
      <c r="U46" s="12">
        <f>TRANSICAO!$U$46*CUSTOS!$T$3</f>
        <v>0</v>
      </c>
      <c r="V46" s="12">
        <f>TRANSICAO!$V$46*CUSTOS!$T$3</f>
        <v>0</v>
      </c>
      <c r="W46" s="12">
        <f>TRANSICAO!$W$46*CUSTOS!$T$3</f>
        <v>0</v>
      </c>
      <c r="X46" s="12">
        <f>TRANSICAO!$X$46*CUSTOS!$T$3</f>
        <v>0</v>
      </c>
      <c r="Y46" s="12">
        <f>TRANSICAO!$Y$46*CUSTOS!$T$3</f>
        <v>0.43263000000000001</v>
      </c>
      <c r="Z46" s="12">
        <f>TRANSICAO!$Z$46*CUSTOS!$T$3</f>
        <v>0</v>
      </c>
      <c r="AA46" s="12">
        <f>TRANSICAO!$AA$46*CUSTOS!$T$3</f>
        <v>0</v>
      </c>
      <c r="AB46" s="12">
        <f>TRANSICAO!$AB$46*CUSTOS!$T$3</f>
        <v>0</v>
      </c>
      <c r="AC46" s="12">
        <f>TRANSICAO!$AC$46*CUSTOS!$T$3</f>
        <v>216.18243000000001</v>
      </c>
      <c r="AD46" s="12">
        <f>TRANSICAO!$AD$46*CUSTOS!$T$3</f>
        <v>0</v>
      </c>
      <c r="AE46" s="12">
        <v>0</v>
      </c>
      <c r="AF46" s="12">
        <v>0</v>
      </c>
      <c r="AG46" s="12"/>
      <c r="AH46" s="12">
        <f>(1 - CUSTOS!$M$31)*25.7023</f>
        <v>25.702300000000001</v>
      </c>
      <c r="AI46" s="12">
        <f>(1 - CUSTOS!$M$31)*25.7023</f>
        <v>25.702300000000001</v>
      </c>
      <c r="AJ46" s="12">
        <f ca="1">$N$64*(1-CUSTOS!$M$31)</f>
        <v>0</v>
      </c>
      <c r="AK46" s="12">
        <f t="shared" ca="1" si="0"/>
        <v>0</v>
      </c>
      <c r="AL46" s="12"/>
      <c r="AM46" s="12"/>
      <c r="AP46" s="12">
        <f>IF((1 - CUSTOS!$M$31)&lt;&gt;0,1/(1 - CUSTOS!$M$31),1)</f>
        <v>1</v>
      </c>
    </row>
    <row r="47" spans="1:42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>
        <f>1*(1 - CUSTOS!$M$31)</f>
        <v>1</v>
      </c>
      <c r="M47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0.59600278811981056</v>
      </c>
      <c r="N47" s="12">
        <f ca="1">(+M47+O47+R47+U47+V47+W47+X47+Y47+Z47+AA47+AC47+AH47+AI47+AJ47+AK47)*CUSTOS!$M$5</f>
        <v>1.2620571278811982E-12</v>
      </c>
      <c r="O47" s="12">
        <f>1 - CUSTOS!$M$31</f>
        <v>1</v>
      </c>
      <c r="P47" s="12">
        <f>1 - CUSTOS!$M$31</f>
        <v>1</v>
      </c>
      <c r="Q47" s="12">
        <f>1*(1 - CUSTOS!$M$31)</f>
        <v>1</v>
      </c>
      <c r="R47" s="12">
        <f>1 - CUSTOS!$M$31</f>
        <v>1</v>
      </c>
      <c r="S47" s="12">
        <f>1 - CUSTOS!$M$31</f>
        <v>1</v>
      </c>
      <c r="T47" s="12"/>
      <c r="U47" s="12">
        <f>TRANSICAO!$U$47*CUSTOS!$T$3</f>
        <v>0</v>
      </c>
      <c r="V47" s="12">
        <f>TRANSICAO!$V$47*CUSTOS!$T$3</f>
        <v>0</v>
      </c>
      <c r="W47" s="12">
        <f>TRANSICAO!$W$47*CUSTOS!$T$3</f>
        <v>0</v>
      </c>
      <c r="X47" s="12">
        <f>TRANSICAO!$X$47*CUSTOS!$T$3</f>
        <v>0</v>
      </c>
      <c r="Y47" s="12">
        <f>TRANSICAO!$Y$47*CUSTOS!$T$3</f>
        <v>0.14427000000000001</v>
      </c>
      <c r="Z47" s="12">
        <f>TRANSICAO!$Z$47*CUSTOS!$T$3</f>
        <v>0</v>
      </c>
      <c r="AA47" s="12">
        <f>TRANSICAO!$AA$47*CUSTOS!$T$3</f>
        <v>0</v>
      </c>
      <c r="AB47" s="12">
        <f>TRANSICAO!$AB$47*CUSTOS!$T$3</f>
        <v>0</v>
      </c>
      <c r="AC47" s="12">
        <f>TRANSICAO!$AC$47*CUSTOS!$T$3</f>
        <v>72.060839999999999</v>
      </c>
      <c r="AD47" s="12">
        <f>TRANSICAO!$AD$47*CUSTOS!$T$3</f>
        <v>0</v>
      </c>
      <c r="AE47" s="12">
        <v>0</v>
      </c>
      <c r="AF47" s="12">
        <v>0</v>
      </c>
      <c r="AG47" s="12"/>
      <c r="AH47" s="12">
        <f>(1 - CUSTOS!$M$31)*25.7023</f>
        <v>25.702300000000001</v>
      </c>
      <c r="AI47" s="12">
        <f>(1 - CUSTOS!$M$31)*25.7023</f>
        <v>25.702300000000001</v>
      </c>
      <c r="AJ47" s="12">
        <f ca="1">$N$64*(1-CUSTOS!$M$31)</f>
        <v>0</v>
      </c>
      <c r="AK47" s="12">
        <f t="shared" ca="1" si="0"/>
        <v>0</v>
      </c>
      <c r="AL47" s="12"/>
      <c r="AM47" s="12"/>
      <c r="AP47" s="12">
        <f>IF((1 - CUSTOS!$M$31)&lt;&gt;0,1/(1 - CUSTOS!$M$31),1)</f>
        <v>1</v>
      </c>
    </row>
    <row r="48" spans="1:42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>
        <f>1*(1 - CUSTOS!$M$31)</f>
        <v>1</v>
      </c>
      <c r="M48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0.59600278811981056</v>
      </c>
      <c r="N48" s="12">
        <f ca="1">(+M48+O48+R48+U48+V48+W48+X48+Y48+Z48+AA48+AC48+AH48+AI48+AJ48+AK48)*CUSTOS!$M$5</f>
        <v>1.6018449278811983E-12</v>
      </c>
      <c r="O48" s="12">
        <f>1 - CUSTOS!$M$31</f>
        <v>1</v>
      </c>
      <c r="P48" s="12">
        <f>1 - CUSTOS!$M$31</f>
        <v>1</v>
      </c>
      <c r="Q48" s="12">
        <f>1*(1 - CUSTOS!$M$31)</f>
        <v>1</v>
      </c>
      <c r="R48" s="12">
        <f>1 - CUSTOS!$M$31</f>
        <v>1</v>
      </c>
      <c r="S48" s="12">
        <f>1 - CUSTOS!$M$31</f>
        <v>1</v>
      </c>
      <c r="T48" s="12"/>
      <c r="U48" s="12">
        <f>TRANSICAO!$U$48*CUSTOS!$T$3</f>
        <v>0</v>
      </c>
      <c r="V48" s="12">
        <f>TRANSICAO!$V$48*CUSTOS!$T$3</f>
        <v>0</v>
      </c>
      <c r="W48" s="12">
        <f>TRANSICAO!$W$48*CUSTOS!$T$3</f>
        <v>0</v>
      </c>
      <c r="X48" s="12">
        <f>TRANSICAO!$X$48*CUSTOS!$T$3</f>
        <v>0</v>
      </c>
      <c r="Y48" s="12">
        <f>TRANSICAO!$Y$48*CUSTOS!$T$3</f>
        <v>0.21212999999999999</v>
      </c>
      <c r="Z48" s="12">
        <f>TRANSICAO!$Z$48*CUSTOS!$T$3</f>
        <v>0</v>
      </c>
      <c r="AA48" s="12">
        <f>TRANSICAO!$AA$48*CUSTOS!$T$3</f>
        <v>0</v>
      </c>
      <c r="AB48" s="12">
        <f>TRANSICAO!$AB$48*CUSTOS!$T$3</f>
        <v>0</v>
      </c>
      <c r="AC48" s="12">
        <f>TRANSICAO!$AC$48*CUSTOS!$T$3</f>
        <v>105.97176</v>
      </c>
      <c r="AD48" s="12">
        <f>TRANSICAO!$AD$48*CUSTOS!$T$3</f>
        <v>0</v>
      </c>
      <c r="AE48" s="12">
        <v>0</v>
      </c>
      <c r="AF48" s="12">
        <v>0</v>
      </c>
      <c r="AG48" s="12"/>
      <c r="AH48" s="12">
        <f>(1 - CUSTOS!$M$31)*25.7023</f>
        <v>25.702300000000001</v>
      </c>
      <c r="AI48" s="12">
        <f>(1 - CUSTOS!$M$31)*25.7023</f>
        <v>25.702300000000001</v>
      </c>
      <c r="AJ48" s="12">
        <f ca="1">$N$64*(1-CUSTOS!$M$31)</f>
        <v>0</v>
      </c>
      <c r="AK48" s="12">
        <f t="shared" ca="1" si="0"/>
        <v>0</v>
      </c>
      <c r="AL48" s="12"/>
      <c r="AM48" s="12"/>
      <c r="AP48" s="12">
        <f>IF((1 - CUSTOS!$M$31)&lt;&gt;0,1/(1 - CUSTOS!$M$31),1)</f>
        <v>1</v>
      </c>
    </row>
    <row r="49" spans="1:42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>
        <f>1*(1 - CUSTOS!$M$31)</f>
        <v>1</v>
      </c>
      <c r="M49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0.59600278811981056</v>
      </c>
      <c r="N49" s="12">
        <f ca="1">(+M49+O49+R49+U49+V49+W49+X49+Y49+Z49+AA49+AC49+AH49+AI49+AJ49+AK49)*CUSTOS!$M$5</f>
        <v>1.6018449278811983E-12</v>
      </c>
      <c r="O49" s="12">
        <f>1 - CUSTOS!$M$31</f>
        <v>1</v>
      </c>
      <c r="P49" s="12">
        <f>1 - CUSTOS!$M$31</f>
        <v>1</v>
      </c>
      <c r="Q49" s="12">
        <f>1*(1 - CUSTOS!$M$31)</f>
        <v>1</v>
      </c>
      <c r="R49" s="12">
        <f>1 - CUSTOS!$M$31</f>
        <v>1</v>
      </c>
      <c r="S49" s="12">
        <f>1 - CUSTOS!$M$31</f>
        <v>1</v>
      </c>
      <c r="T49" s="12"/>
      <c r="U49" s="12">
        <f>TRANSICAO!$U$49*CUSTOS!$T$3</f>
        <v>0</v>
      </c>
      <c r="V49" s="12">
        <f>TRANSICAO!$V$49*CUSTOS!$T$3</f>
        <v>0</v>
      </c>
      <c r="W49" s="12">
        <f>TRANSICAO!$W$49*CUSTOS!$T$3</f>
        <v>0</v>
      </c>
      <c r="X49" s="12">
        <f>TRANSICAO!$X$49*CUSTOS!$T$3</f>
        <v>0</v>
      </c>
      <c r="Y49" s="12">
        <f>TRANSICAO!$Y$49*CUSTOS!$T$3</f>
        <v>0.21212999999999999</v>
      </c>
      <c r="Z49" s="12">
        <f>TRANSICAO!$Z$49*CUSTOS!$T$3</f>
        <v>0</v>
      </c>
      <c r="AA49" s="12">
        <f>TRANSICAO!$AA$49*CUSTOS!$T$3</f>
        <v>0</v>
      </c>
      <c r="AB49" s="12">
        <f>TRANSICAO!$AB$49*CUSTOS!$T$3</f>
        <v>0</v>
      </c>
      <c r="AC49" s="12">
        <f>TRANSICAO!$AC$49*CUSTOS!$T$3</f>
        <v>105.97176</v>
      </c>
      <c r="AD49" s="12">
        <f>TRANSICAO!$AD$49*CUSTOS!$T$3</f>
        <v>0</v>
      </c>
      <c r="AE49" s="12">
        <v>0</v>
      </c>
      <c r="AF49" s="12">
        <v>0</v>
      </c>
      <c r="AG49" s="12"/>
      <c r="AH49" s="12">
        <f>(1 - CUSTOS!$M$31)*25.7023</f>
        <v>25.702300000000001</v>
      </c>
      <c r="AI49" s="12">
        <f>(1 - CUSTOS!$M$31)*25.7023</f>
        <v>25.702300000000001</v>
      </c>
      <c r="AJ49" s="12">
        <f ca="1">$N$64*(1-CUSTOS!$M$31)</f>
        <v>0</v>
      </c>
      <c r="AK49" s="12">
        <f t="shared" ca="1" si="0"/>
        <v>0</v>
      </c>
      <c r="AL49" s="12"/>
      <c r="AM49" s="12"/>
      <c r="AP49" s="12">
        <f>IF((1 - CUSTOS!$M$31)&lt;&gt;0,1/(1 - CUSTOS!$M$31),1)</f>
        <v>1</v>
      </c>
    </row>
    <row r="50" spans="1:42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>
        <f>1*(1 - CUSTOS!$M$32)</f>
        <v>0.55000000000000004</v>
      </c>
      <c r="M50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0.32780153346589586</v>
      </c>
      <c r="N50" s="12">
        <f ca="1">(+M50+O50+R50+U50+V50+W50+X50+Y50+Z50+AA50+AC50+AH50+AI50+AJ50+AK50)*CUSTOS!$M$5</f>
        <v>8.8101471033465915E-13</v>
      </c>
      <c r="O50" s="12">
        <f>1 - CUSTOS!$M$32</f>
        <v>0.55000000000000004</v>
      </c>
      <c r="P50" s="12">
        <f>1 - CUSTOS!$M$32</f>
        <v>0.55000000000000004</v>
      </c>
      <c r="Q50" s="12">
        <f>1*(1 - CUSTOS!$M$32)</f>
        <v>0.55000000000000004</v>
      </c>
      <c r="R50" s="12">
        <f>1 - CUSTOS!$M$32</f>
        <v>0.55000000000000004</v>
      </c>
      <c r="S50" s="12">
        <f>1 - CUSTOS!$M$32</f>
        <v>0.55000000000000004</v>
      </c>
      <c r="T50" s="12"/>
      <c r="U50" s="12">
        <f>TRANSICAO!$U$50*CUSTOS!$T$3</f>
        <v>0</v>
      </c>
      <c r="V50" s="12">
        <f>TRANSICAO!$V$50*CUSTOS!$T$3</f>
        <v>0</v>
      </c>
      <c r="W50" s="12">
        <f>TRANSICAO!$W$50*CUSTOS!$T$3</f>
        <v>0</v>
      </c>
      <c r="X50" s="12">
        <f>TRANSICAO!$X$50*CUSTOS!$T$3</f>
        <v>0</v>
      </c>
      <c r="Y50" s="12">
        <f>TRANSICAO!$Y$50*CUSTOS!$T$3</f>
        <v>0.1166715</v>
      </c>
      <c r="Z50" s="12">
        <f>TRANSICAO!$Z$50*CUSTOS!$T$3</f>
        <v>0</v>
      </c>
      <c r="AA50" s="12">
        <f>TRANSICAO!$AA$50*CUSTOS!$T$3</f>
        <v>0</v>
      </c>
      <c r="AB50" s="12">
        <f>TRANSICAO!$AB$50*CUSTOS!$T$3</f>
        <v>0</v>
      </c>
      <c r="AC50" s="12">
        <f>TRANSICAO!$AC$50*CUSTOS!$T$3</f>
        <v>58.284468000000004</v>
      </c>
      <c r="AD50" s="12">
        <f>TRANSICAO!$AD$50*CUSTOS!$T$3</f>
        <v>0</v>
      </c>
      <c r="AE50" s="12">
        <v>0</v>
      </c>
      <c r="AF50" s="12">
        <v>0</v>
      </c>
      <c r="AG50" s="12"/>
      <c r="AH50" s="12">
        <f>(1 - CUSTOS!$M$32)*25.7023</f>
        <v>14.136265000000002</v>
      </c>
      <c r="AI50" s="12">
        <f>(1 - CUSTOS!$M$32)*25.7023</f>
        <v>14.136265000000002</v>
      </c>
      <c r="AJ50" s="12">
        <f ca="1">$N$64*(1-CUSTOS!$M$32)</f>
        <v>0</v>
      </c>
      <c r="AK50" s="12">
        <f t="shared" ca="1" si="0"/>
        <v>0</v>
      </c>
      <c r="AL50" s="12"/>
      <c r="AM50" s="12"/>
      <c r="AP50" s="12">
        <f>IF((1 - CUSTOS!$M$32)&lt;&gt;0,1/(1 - CUSTOS!$M$32),1)</f>
        <v>1.8181818181818181</v>
      </c>
    </row>
    <row r="51" spans="1:42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>
        <f>1*(1 - CUSTOS!$M$33)</f>
        <v>0.6</v>
      </c>
      <c r="M51" s="12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0.35760167287188632</v>
      </c>
      <c r="N51" s="12">
        <f ca="1">(+M51+O51+R51+U51+V51+W51+X51+Y51+Z51+AA51+AC51+AH51+AI51+AJ51+AK51)*CUSTOS!$M$5</f>
        <v>9.6110695672871865E-13</v>
      </c>
      <c r="O51" s="12">
        <f>1 - CUSTOS!$M$33</f>
        <v>0.6</v>
      </c>
      <c r="P51" s="12">
        <f>1 - CUSTOS!$M$33</f>
        <v>0.6</v>
      </c>
      <c r="Q51" s="12">
        <f>1*(1 - CUSTOS!$M$33)</f>
        <v>0.6</v>
      </c>
      <c r="R51" s="12">
        <f>1 - CUSTOS!$M$33</f>
        <v>0.6</v>
      </c>
      <c r="S51" s="12">
        <f>1 - CUSTOS!$M$33</f>
        <v>0.6</v>
      </c>
      <c r="T51" s="12"/>
      <c r="U51" s="12">
        <f>TRANSICAO!$U$51*CUSTOS!$T$3</f>
        <v>0</v>
      </c>
      <c r="V51" s="12">
        <f>TRANSICAO!$V$51*CUSTOS!$T$3</f>
        <v>0</v>
      </c>
      <c r="W51" s="12">
        <f>TRANSICAO!$W$51*CUSTOS!$T$3</f>
        <v>0</v>
      </c>
      <c r="X51" s="12">
        <f>TRANSICAO!$X$51*CUSTOS!$T$3</f>
        <v>0</v>
      </c>
      <c r="Y51" s="12">
        <f>TRANSICAO!$Y$51*CUSTOS!$T$3</f>
        <v>0.127278</v>
      </c>
      <c r="Z51" s="12">
        <f>TRANSICAO!$Z$51*CUSTOS!$T$3</f>
        <v>0</v>
      </c>
      <c r="AA51" s="12">
        <f>TRANSICAO!$AA$51*CUSTOS!$T$3</f>
        <v>0</v>
      </c>
      <c r="AB51" s="12">
        <f>TRANSICAO!$AB$51*CUSTOS!$T$3</f>
        <v>0</v>
      </c>
      <c r="AC51" s="12">
        <f>TRANSICAO!$AC$51*CUSTOS!$T$3</f>
        <v>63.583055999999992</v>
      </c>
      <c r="AD51" s="12">
        <f>TRANSICAO!$AD$51*CUSTOS!$T$3</f>
        <v>0</v>
      </c>
      <c r="AE51" s="12">
        <v>0</v>
      </c>
      <c r="AF51" s="12">
        <v>0</v>
      </c>
      <c r="AG51" s="12"/>
      <c r="AH51" s="12">
        <f>(1 - CUSTOS!$M$33)*25.7023</f>
        <v>15.421379999999999</v>
      </c>
      <c r="AI51" s="12">
        <f>(1 - CUSTOS!$M$33)*25.7023</f>
        <v>15.421379999999999</v>
      </c>
      <c r="AJ51" s="12">
        <f ca="1">$N$64*(1-CUSTOS!$M$33)</f>
        <v>0</v>
      </c>
      <c r="AK51" s="12">
        <f t="shared" ca="1" si="0"/>
        <v>0</v>
      </c>
      <c r="AL51" s="12"/>
      <c r="AM51" s="12"/>
      <c r="AP51" s="12">
        <f>IF((1 - CUSTOS!$M$33)&lt;&gt;0,1/(1 - CUSTOS!$M$33),1)</f>
        <v>1.6666666666666667</v>
      </c>
    </row>
    <row r="53" spans="1:42" ht="11.25" customHeight="1" x14ac:dyDescent="0.25">
      <c r="K53" s="16" t="s">
        <v>426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spans="1:42" ht="11.25" customHeight="1" x14ac:dyDescent="0.25">
      <c r="K54" s="16" t="s">
        <v>427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1:42" ht="11.25" customHeight="1" x14ac:dyDescent="0.25">
      <c r="K55" s="16" t="s">
        <v>428</v>
      </c>
      <c r="L55" s="12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48288.389760000005</v>
      </c>
      <c r="M55" s="12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20397.604749113721</v>
      </c>
      <c r="N55" s="12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2.7388598267961697E-8</v>
      </c>
      <c r="O55" s="12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56476.7984</v>
      </c>
      <c r="P55" s="12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56468.542399999998</v>
      </c>
      <c r="Q55" s="12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48288.389760000005</v>
      </c>
      <c r="R55" s="12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56468.542399999998</v>
      </c>
      <c r="S55" s="12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56476.7984</v>
      </c>
      <c r="T55" s="12"/>
      <c r="U55" s="12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2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2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2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2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12424.235280471998</v>
      </c>
      <c r="Z55" s="12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2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2"/>
      <c r="AC55" s="12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3626778.4616696276</v>
      </c>
      <c r="AD55" s="12"/>
      <c r="AE55" s="12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2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2"/>
      <c r="AH55" s="12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795857.46729851991</v>
      </c>
      <c r="AI55" s="12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795857.46729851991</v>
      </c>
      <c r="AJ55" s="12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0</v>
      </c>
      <c r="AK55" s="12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0</v>
      </c>
      <c r="AL55" s="12"/>
      <c r="AM55" s="12"/>
    </row>
    <row r="56" spans="1:42" ht="11.25" customHeight="1" x14ac:dyDescent="0.25">
      <c r="K56" s="16" t="s">
        <v>364</v>
      </c>
      <c r="L56" s="12">
        <f>CUSTOS!$D$2</f>
        <v>0</v>
      </c>
      <c r="M56" s="12">
        <f>CUSTOS!$D$3</f>
        <v>20528.077865070933</v>
      </c>
      <c r="N56" s="12">
        <f>CUSTOS!$D$4</f>
        <v>0</v>
      </c>
      <c r="O56" s="12">
        <f>CUSTOS!$D$5</f>
        <v>0</v>
      </c>
      <c r="P56" s="12">
        <f>CUSTOS!$D$6</f>
        <v>0</v>
      </c>
      <c r="Q56" s="12">
        <f>CUSTOS!$D$7</f>
        <v>4334434.3109400002</v>
      </c>
      <c r="R56" s="12">
        <f>CUSTOS!$D$8</f>
        <v>800993.75328000018</v>
      </c>
      <c r="S56" s="12">
        <f>CUSTOS!$D$9</f>
        <v>0</v>
      </c>
      <c r="T56" s="12">
        <f>CUSTOS!$D$10</f>
        <v>5155956.1420850707</v>
      </c>
      <c r="U56" s="12">
        <f>CUSTOS!$D$11</f>
        <v>0</v>
      </c>
      <c r="V56" s="12">
        <f>IF(SUM(V53:V55)&lt;&gt;0,CUSTOS!$D$12+CUSTOS!$D$16+CUSTOS!$D$17-'TR TUSD'!$Z$54-'TR TUSD'!$AA$54,0)</f>
        <v>0</v>
      </c>
      <c r="W56" s="12">
        <f>CUSTOS!$D$13</f>
        <v>0</v>
      </c>
      <c r="X56" s="12">
        <f>CUSTOS!$D$14</f>
        <v>0</v>
      </c>
      <c r="Y56" s="12">
        <f>IF(SUM(V53:V55)=0,CUSTOS!$D$15+CUSTOS!$D$16+CUSTOS!$D$17-'TR TUSD'!$Z$54-'TR TUSD'!$AA$54,CUSTOS!$D$15)</f>
        <v>2156133.9775</v>
      </c>
      <c r="Z56" s="12">
        <f>Z54</f>
        <v>0</v>
      </c>
      <c r="AA56" s="12">
        <f>AA54</f>
        <v>0</v>
      </c>
      <c r="AB56" s="12">
        <f>CUSTOS!$D$18</f>
        <v>2156133.9775</v>
      </c>
      <c r="AC56" s="12">
        <f>CUSTOS!$D$19</f>
        <v>4510443.0453111222</v>
      </c>
      <c r="AD56" s="12">
        <f>CUSTOS!$D$20</f>
        <v>4510443.0453111222</v>
      </c>
      <c r="AE56" s="12">
        <f>CUSTOS!$D$21</f>
        <v>0</v>
      </c>
      <c r="AF56" s="12">
        <f>CUSTOS!$D$22</f>
        <v>0</v>
      </c>
      <c r="AG56" s="12">
        <f>CUSTOS!$D$23</f>
        <v>0</v>
      </c>
      <c r="AH56" s="12">
        <f>CUSTOS!$D$24</f>
        <v>418128.09351266426</v>
      </c>
      <c r="AI56" s="12">
        <f>CUSTOS!$D$25</f>
        <v>0</v>
      </c>
      <c r="AJ56" s="12">
        <f>CUSTOS!$D$26</f>
        <v>0</v>
      </c>
      <c r="AK56" s="12">
        <f>CUSTOS!$D$27</f>
        <v>0</v>
      </c>
      <c r="AL56" s="12">
        <f>CUSTOS!$D$28</f>
        <v>418128.09351266426</v>
      </c>
      <c r="AM56" s="12">
        <f>CUSTOS!$D$29</f>
        <v>12240661.258408858</v>
      </c>
    </row>
    <row r="57" spans="1:42" ht="11.25" customHeight="1" x14ac:dyDescent="0.25">
      <c r="K57" s="16" t="s">
        <v>365</v>
      </c>
      <c r="L57" s="12">
        <f>CUSTOS!$E$2</f>
        <v>0</v>
      </c>
      <c r="M57" s="12">
        <f>CUSTOS!$E$3</f>
        <v>-265.52917760075673</v>
      </c>
      <c r="N57" s="12">
        <f>CUSTOS!$E$4</f>
        <v>0</v>
      </c>
      <c r="O57" s="12">
        <f>CUSTOS!$E$5</f>
        <v>0</v>
      </c>
      <c r="P57" s="12">
        <f>CUSTOS!$E$6</f>
        <v>0</v>
      </c>
      <c r="Q57" s="12">
        <f>CUSTOS!$E$7</f>
        <v>-48767.209514869857</v>
      </c>
      <c r="R57" s="12">
        <f>CUSTOS!$E$8</f>
        <v>-8700.7586157352198</v>
      </c>
      <c r="S57" s="12">
        <f>CUSTOS!$E$9</f>
        <v>0</v>
      </c>
      <c r="T57" s="12">
        <f>CUSTOS!$E$10</f>
        <v>-57733.497308205835</v>
      </c>
      <c r="U57" s="12">
        <f>CUSTOS!$E$11</f>
        <v>0</v>
      </c>
      <c r="V57" s="12">
        <f>CUSTOS!$E$12</f>
        <v>0</v>
      </c>
      <c r="W57" s="12">
        <f>CUSTOS!$E$13</f>
        <v>0</v>
      </c>
      <c r="X57" s="12">
        <f>CUSTOS!$E$14</f>
        <v>0</v>
      </c>
      <c r="Y57" s="12">
        <f>CUSTOS!$E$15</f>
        <v>63610.411416400762</v>
      </c>
      <c r="Z57" s="12">
        <f>CUSTOS!$E$16</f>
        <v>0</v>
      </c>
      <c r="AA57" s="12">
        <f>CUSTOS!$E$17</f>
        <v>0</v>
      </c>
      <c r="AB57" s="12">
        <f>CUSTOS!$E$18</f>
        <v>63610.411416400762</v>
      </c>
      <c r="AC57" s="12">
        <f>CUSTOS!$E$19</f>
        <v>0</v>
      </c>
      <c r="AD57" s="12">
        <f>CUSTOS!$E$20</f>
        <v>0</v>
      </c>
      <c r="AE57" s="12">
        <f>CUSTOS!$E$21</f>
        <v>-305197.71894690522</v>
      </c>
      <c r="AF57" s="12">
        <f>CUSTOS!$E$22</f>
        <v>0</v>
      </c>
      <c r="AG57" s="12">
        <f>CUSTOS!$E$23</f>
        <v>-305197.71894690522</v>
      </c>
      <c r="AH57" s="12">
        <f>CUSTOS!$E$24</f>
        <v>3428.6835292660935</v>
      </c>
      <c r="AI57" s="12">
        <f>CUSTOS!$E$25</f>
        <v>0</v>
      </c>
      <c r="AJ57" s="12">
        <f>CUSTOS!$E$26</f>
        <v>0</v>
      </c>
      <c r="AK57" s="12">
        <f>CUSTOS!$E$27</f>
        <v>0</v>
      </c>
      <c r="AL57" s="12">
        <f>CUSTOS!$E$28</f>
        <v>3428.6835292660935</v>
      </c>
      <c r="AM57" s="12">
        <f>CUSTOS!$E$29</f>
        <v>-295892.12130944419</v>
      </c>
    </row>
    <row r="58" spans="1:42" ht="11.25" customHeight="1" x14ac:dyDescent="0.25">
      <c r="K58" s="16" t="s">
        <v>366</v>
      </c>
      <c r="L58" s="12">
        <f>CUSTOS!$F$2</f>
        <v>0</v>
      </c>
      <c r="M58" s="12">
        <f>CUSTOS!$F$3</f>
        <v>0</v>
      </c>
      <c r="N58" s="12">
        <f>CUSTOS!$F$4</f>
        <v>0</v>
      </c>
      <c r="O58" s="12">
        <f>CUSTOS!$F$5</f>
        <v>0</v>
      </c>
      <c r="P58" s="12">
        <f>CUSTOS!$F$6</f>
        <v>0</v>
      </c>
      <c r="Q58" s="12">
        <f>CUSTOS!$F$7</f>
        <v>0</v>
      </c>
      <c r="R58" s="12">
        <f>CUSTOS!$F$8</f>
        <v>0</v>
      </c>
      <c r="S58" s="12">
        <f>CUSTOS!$F$9</f>
        <v>0</v>
      </c>
      <c r="T58" s="12">
        <f>CUSTOS!$F$10</f>
        <v>0</v>
      </c>
      <c r="U58" s="12">
        <f>CUSTOS!$F$11</f>
        <v>0</v>
      </c>
      <c r="V58" s="12">
        <f>CUSTOS!$F$12</f>
        <v>0</v>
      </c>
      <c r="W58" s="12">
        <f>CUSTOS!$F$13</f>
        <v>0</v>
      </c>
      <c r="X58" s="12">
        <f>CUSTOS!$F$14</f>
        <v>0</v>
      </c>
      <c r="Y58" s="12">
        <f>CUSTOS!$F$15</f>
        <v>0</v>
      </c>
      <c r="Z58" s="12">
        <f>CUSTOS!$F$16</f>
        <v>0</v>
      </c>
      <c r="AA58" s="12">
        <f>CUSTOS!$F$17</f>
        <v>0</v>
      </c>
      <c r="AB58" s="12">
        <f>CUSTOS!$F$18</f>
        <v>0</v>
      </c>
      <c r="AC58" s="12">
        <f>CUSTOS!$F$19</f>
        <v>0</v>
      </c>
      <c r="AD58" s="12">
        <f>CUSTOS!$F$20</f>
        <v>0</v>
      </c>
      <c r="AE58" s="12">
        <f>CUSTOS!$F$21</f>
        <v>0</v>
      </c>
      <c r="AF58" s="12">
        <f>CUSTOS!$F$22</f>
        <v>0</v>
      </c>
      <c r="AG58" s="12">
        <f>CUSTOS!$F$23</f>
        <v>0</v>
      </c>
      <c r="AH58" s="12">
        <f>CUSTOS!$F$24</f>
        <v>0</v>
      </c>
      <c r="AI58" s="12">
        <f>CUSTOS!$F$25</f>
        <v>0</v>
      </c>
      <c r="AJ58" s="12">
        <f>CUSTOS!$F$26</f>
        <v>0</v>
      </c>
      <c r="AK58" s="12">
        <f>CUSTOS!$F$27</f>
        <v>0</v>
      </c>
      <c r="AL58" s="12">
        <f>CUSTOS!$F$28</f>
        <v>0</v>
      </c>
      <c r="AM58" s="12">
        <f>CUSTOS!$F$29</f>
        <v>0</v>
      </c>
    </row>
    <row r="59" spans="1:42" ht="11.25" customHeight="1" x14ac:dyDescent="0.25">
      <c r="K59" s="16" t="s">
        <v>429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/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/>
      <c r="AC59" s="12">
        <v>0</v>
      </c>
      <c r="AD59" s="12"/>
      <c r="AE59" s="12">
        <v>0</v>
      </c>
      <c r="AF59" s="12">
        <v>0</v>
      </c>
      <c r="AG59" s="12"/>
      <c r="AH59" s="12">
        <v>0</v>
      </c>
      <c r="AI59" s="12">
        <v>0</v>
      </c>
      <c r="AJ59" s="12">
        <v>0</v>
      </c>
      <c r="AK59" s="12">
        <v>0</v>
      </c>
      <c r="AL59" s="12"/>
      <c r="AM59" s="12"/>
    </row>
    <row r="60" spans="1:42" ht="11.25" customHeight="1" x14ac:dyDescent="0.25">
      <c r="K60" s="16" t="s">
        <v>430</v>
      </c>
      <c r="L60" s="12">
        <f t="shared" ref="L60:S60" si="1">IF((L55+L53)&lt;&gt;0,(L56-L54-L59)/(L55+L53),0)</f>
        <v>0</v>
      </c>
      <c r="M60" s="12">
        <f t="shared" si="1"/>
        <v>1.006396492017666</v>
      </c>
      <c r="N60" s="12">
        <f t="shared" ca="1" si="1"/>
        <v>0</v>
      </c>
      <c r="O60" s="12">
        <f t="shared" si="1"/>
        <v>0</v>
      </c>
      <c r="P60" s="12">
        <f t="shared" si="1"/>
        <v>0</v>
      </c>
      <c r="Q60" s="12">
        <f t="shared" si="1"/>
        <v>89.761417443877093</v>
      </c>
      <c r="R60" s="12">
        <f t="shared" si="1"/>
        <v>14.184778271875496</v>
      </c>
      <c r="S60" s="12">
        <f t="shared" si="1"/>
        <v>0</v>
      </c>
      <c r="T60" s="12"/>
      <c r="U60" s="12">
        <f>IF(U55&lt;&gt;0,(U56-U54-U53-U59)/U55,0)</f>
        <v>0</v>
      </c>
      <c r="V60" s="12">
        <f>IF(V55&lt;&gt;0,(V56-V54-V53-V59)/V55,0)</f>
        <v>0</v>
      </c>
      <c r="W60" s="12">
        <f>IF(W55&lt;&gt;0,(W56-W54-W53-W59)/W55,0)</f>
        <v>0</v>
      </c>
      <c r="X60" s="12">
        <f>IF(X55&lt;&gt;0,(X56-X54-X53-X59)/X55,0)</f>
        <v>0</v>
      </c>
      <c r="Y60" s="12">
        <f>IF(Y55&lt;&gt;0,(Y56-Y54-Y53-Y59)/Y55,0)</f>
        <v>173.5425906565807</v>
      </c>
      <c r="Z60" s="12"/>
      <c r="AA60" s="12"/>
      <c r="AB60" s="12"/>
      <c r="AC60" s="12">
        <f>IF(AC55&lt;&gt;0,(AC56-AC54-AC53-AC59)/AC55,0)</f>
        <v>1.2436500031586406</v>
      </c>
      <c r="AD60" s="12"/>
      <c r="AE60" s="12">
        <f>IF((AE55+AE53)&lt;&gt;0,(AE56-AE54-AE59)/(AE55+AE53),0)</f>
        <v>0</v>
      </c>
      <c r="AF60" s="12">
        <f>IF((AF55+AF53)&lt;&gt;0,(AF56-AF54-AF59)/(AF55+AF53),0)</f>
        <v>0</v>
      </c>
      <c r="AG60" s="12"/>
      <c r="AH60" s="12">
        <f>IF(AH55&lt;&gt;0,(AH56-AH54-AH53-AH59)/AH55,0)</f>
        <v>0.52538062491512405</v>
      </c>
      <c r="AI60" s="12">
        <f>IF(AI55&lt;&gt;0,(AI56-AI54-AI53-AI59)/AI55,0)</f>
        <v>0</v>
      </c>
      <c r="AJ60" s="12">
        <f ca="1">IF((AJ55+AJ53)&lt;&gt;0,(AJ56-AJ54-AJ59)/(AJ55+AJ53),0)</f>
        <v>0</v>
      </c>
      <c r="AK60" s="12">
        <f ca="1">IF((AK55+AK53)&lt;&gt;0,(AK56-AK54-AK59)/(AK55+AK53),0)</f>
        <v>0</v>
      </c>
      <c r="AL60" s="12"/>
      <c r="AM60" s="12"/>
    </row>
    <row r="62" spans="1:42" ht="11.25" customHeight="1" x14ac:dyDescent="0.25">
      <c r="K62" s="19" t="s">
        <v>434</v>
      </c>
      <c r="L62" s="19" t="s">
        <v>435</v>
      </c>
      <c r="M62" s="19" t="s">
        <v>436</v>
      </c>
      <c r="N62" s="19" t="s">
        <v>437</v>
      </c>
      <c r="O62" s="19" t="s">
        <v>438</v>
      </c>
      <c r="P62" s="19" t="s">
        <v>439</v>
      </c>
    </row>
    <row r="63" spans="1:42" ht="11.25" customHeight="1" x14ac:dyDescent="0.25">
      <c r="K63" s="17" t="s">
        <v>33</v>
      </c>
      <c r="L63" s="17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10707673.828682225</v>
      </c>
      <c r="M63" s="17">
        <f>+'TUSD BE'!$I$7+'TUSD BE'!$I$8+'TUSD BE'!$I$11+'TUSD BE'!$I$12+'TUSD BE'!$I$13+'TUSD BE'!$I$14</f>
        <v>51125.953999999998</v>
      </c>
      <c r="N63" s="17">
        <f ca="1">IF(AND($L$70&lt;&gt;0,M63&lt;&gt;0),(L63/$L$70*$AJ$56)/M63,0)</f>
        <v>0</v>
      </c>
      <c r="O63" s="17"/>
      <c r="P63" s="17"/>
    </row>
    <row r="64" spans="1:42" ht="11.25" customHeight="1" x14ac:dyDescent="0.25">
      <c r="K64" s="17" t="s">
        <v>72</v>
      </c>
      <c r="L64" s="17">
        <f ca="1">+$L$65+$L$66+$L$67+$L$68+$L$69</f>
        <v>1532987.4297265299</v>
      </c>
      <c r="M64" s="17">
        <f>+$M$65+$M$66+$M$67+$M$68+$M$69</f>
        <v>5569.7579999999998</v>
      </c>
      <c r="N64" s="17">
        <f ca="1">IF(AND($L$70&lt;&gt;0,M64&lt;&gt;0),(L64/$L$70*$AJ$56)/M64,0)</f>
        <v>0</v>
      </c>
      <c r="O64" s="17"/>
      <c r="P64" s="17"/>
    </row>
    <row r="65" spans="11:16" ht="11.25" customHeight="1" x14ac:dyDescent="0.25">
      <c r="K65" s="17" t="s">
        <v>72</v>
      </c>
      <c r="L65" s="17"/>
      <c r="M65" s="17"/>
      <c r="N65" s="17">
        <f ca="1">IF(AND($L$70&lt;&gt;0,M65&lt;&gt;0),(L65/$L$70*$AJ$56)/M65,0)</f>
        <v>0</v>
      </c>
      <c r="O65" s="17"/>
      <c r="P65" s="17"/>
    </row>
    <row r="66" spans="11:16" ht="11.25" customHeight="1" x14ac:dyDescent="0.25">
      <c r="K66" s="17" t="s">
        <v>22</v>
      </c>
      <c r="L66" s="17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852504.77058061468</v>
      </c>
      <c r="M66" s="17">
        <f>+'TUSD BE'!$I$17+'TUSD BE'!$I$18+'TUSD BE'!$I$19+'TUSD BE'!$I$20+'TUSD BE'!$I$21+'TUSD BE'!$I$22+'TUSD BE'!$I$23+'TUSD BE'!$I$24+'TUSD BE'!$I$25+'TUSD BE'!$I$26+'TUSD BE'!$I$27+'TUSD BE'!$I$28+'TUSD BE'!$I$29</f>
        <v>2976.97</v>
      </c>
      <c r="N66" s="17"/>
      <c r="O66" s="17"/>
      <c r="P66" s="17"/>
    </row>
    <row r="67" spans="11:16" ht="11.25" customHeight="1" x14ac:dyDescent="0.25">
      <c r="K67" s="17" t="s">
        <v>39</v>
      </c>
      <c r="L67" s="17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191651.71344017863</v>
      </c>
      <c r="M67" s="17">
        <f>+'TUSD BE'!$I$30+'TUSD BE'!$I$31+'TUSD BE'!$I$32+'TUSD BE'!$I$33+'TUSD BE'!$I$34+'TUSD BE'!$I$35+'TUSD BE'!$I$36+'TUSD BE'!$I$37+'TUSD BE'!$I$38+'TUSD BE'!$I$39+'TUSD BE'!$I$40+'TUSD BE'!$I$41+'TUSD BE'!$I$42+'TUSD BE'!$I$43+'TUSD BE'!$I$44</f>
        <v>668.58</v>
      </c>
      <c r="N67" s="17"/>
      <c r="O67" s="17"/>
      <c r="P67" s="17"/>
    </row>
    <row r="68" spans="11:16" ht="11.25" customHeight="1" x14ac:dyDescent="0.25">
      <c r="K68" s="17" t="s">
        <v>31</v>
      </c>
      <c r="L68" s="17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394701.97115813295</v>
      </c>
      <c r="M68" s="17">
        <f>+'TUSD BE'!$I$45+'TUSD BE'!$I$46+'TUSD BE'!$I$47+'TUSD BE'!$I$48+'TUSD BE'!$I$49</f>
        <v>1376.9240000000002</v>
      </c>
      <c r="N68" s="17"/>
      <c r="O68" s="17"/>
      <c r="P68" s="17"/>
    </row>
    <row r="69" spans="11:16" ht="11.25" customHeight="1" x14ac:dyDescent="0.25">
      <c r="K69" s="17" t="s">
        <v>42</v>
      </c>
      <c r="L69" s="17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94128.97454760359</v>
      </c>
      <c r="M69" s="17">
        <f>+'TUSD BE'!$I$50+'TUSD BE'!$I$51</f>
        <v>547.28399999999988</v>
      </c>
      <c r="N69" s="17"/>
      <c r="O69" s="17"/>
      <c r="P69" s="17"/>
    </row>
    <row r="70" spans="11:16" ht="11.25" customHeight="1" x14ac:dyDescent="0.25">
      <c r="K70" s="17"/>
      <c r="L70" s="17">
        <f ca="1">SUM($L$63:$L$69,-$L$64)</f>
        <v>12240661.258408755</v>
      </c>
      <c r="M70" s="17">
        <f>SUM($M$63:$M$69,-$M$64)</f>
        <v>56695.712</v>
      </c>
      <c r="N70" s="17"/>
      <c r="O70" s="17"/>
      <c r="P70" s="17"/>
    </row>
  </sheetData>
  <mergeCells count="73"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A1:A4"/>
    <mergeCell ref="B1:B4"/>
    <mergeCell ref="C1:C4"/>
    <mergeCell ref="D1:D4"/>
    <mergeCell ref="E1:E4"/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EC0A-5904-4FAD-B927-6759AF873D61}">
  <dimension ref="A1:AP58"/>
  <sheetViews>
    <sheetView showGridLines="0" topLeftCell="X35" workbookViewId="0">
      <selection activeCell="AM53" sqref="AM53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53</v>
      </c>
      <c r="B1" s="104" t="s">
        <v>54</v>
      </c>
      <c r="C1" s="104" t="s">
        <v>55</v>
      </c>
      <c r="D1" s="104" t="s">
        <v>56</v>
      </c>
      <c r="E1" s="104" t="s">
        <v>57</v>
      </c>
      <c r="F1" s="104" t="s">
        <v>15</v>
      </c>
      <c r="G1" s="104" t="s">
        <v>59</v>
      </c>
      <c r="H1" s="104" t="s">
        <v>60</v>
      </c>
      <c r="I1" s="104" t="s">
        <v>423</v>
      </c>
      <c r="J1" s="98"/>
      <c r="L1" s="105" t="s">
        <v>431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425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8"/>
      <c r="L2" s="105" t="s">
        <v>322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8"/>
      <c r="L3" s="105" t="s">
        <v>323</v>
      </c>
      <c r="M3" s="105"/>
      <c r="N3" s="105"/>
      <c r="O3" s="105"/>
      <c r="P3" s="105"/>
      <c r="Q3" s="105"/>
      <c r="R3" s="105"/>
      <c r="S3" s="105"/>
      <c r="T3" s="105"/>
      <c r="U3" s="105" t="s">
        <v>332</v>
      </c>
      <c r="V3" s="105"/>
      <c r="W3" s="105"/>
      <c r="X3" s="105"/>
      <c r="Y3" s="105"/>
      <c r="Z3" s="105"/>
      <c r="AA3" s="105"/>
      <c r="AB3" s="105"/>
      <c r="AC3" s="105" t="s">
        <v>340</v>
      </c>
      <c r="AD3" s="105"/>
      <c r="AE3" s="105" t="s">
        <v>342</v>
      </c>
      <c r="AF3" s="105"/>
      <c r="AG3" s="105"/>
      <c r="AH3" s="105" t="s">
        <v>345</v>
      </c>
      <c r="AI3" s="105"/>
      <c r="AJ3" s="105"/>
      <c r="AK3" s="105"/>
      <c r="AL3" s="105"/>
      <c r="AM3" s="105" t="s">
        <v>331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8"/>
      <c r="L4" s="10" t="s">
        <v>408</v>
      </c>
      <c r="M4" s="10" t="s">
        <v>324</v>
      </c>
      <c r="N4" s="10" t="s">
        <v>325</v>
      </c>
      <c r="O4" s="10" t="s">
        <v>326</v>
      </c>
      <c r="P4" s="10" t="s">
        <v>327</v>
      </c>
      <c r="Q4" s="10" t="s">
        <v>328</v>
      </c>
      <c r="R4" s="10" t="s">
        <v>329</v>
      </c>
      <c r="S4" s="10" t="s">
        <v>330</v>
      </c>
      <c r="T4" s="10" t="s">
        <v>331</v>
      </c>
      <c r="U4" s="10" t="s">
        <v>333</v>
      </c>
      <c r="V4" s="10" t="s">
        <v>334</v>
      </c>
      <c r="W4" s="10" t="s">
        <v>335</v>
      </c>
      <c r="X4" s="10" t="s">
        <v>336</v>
      </c>
      <c r="Y4" s="10" t="s">
        <v>337</v>
      </c>
      <c r="Z4" s="10" t="s">
        <v>338</v>
      </c>
      <c r="AA4" s="10" t="s">
        <v>339</v>
      </c>
      <c r="AB4" s="10" t="s">
        <v>331</v>
      </c>
      <c r="AC4" s="10" t="s">
        <v>341</v>
      </c>
      <c r="AD4" s="10" t="s">
        <v>331</v>
      </c>
      <c r="AE4" s="10" t="s">
        <v>343</v>
      </c>
      <c r="AF4" s="10" t="s">
        <v>344</v>
      </c>
      <c r="AG4" s="10" t="s">
        <v>331</v>
      </c>
      <c r="AH4" s="10" t="s">
        <v>346</v>
      </c>
      <c r="AI4" s="10" t="s">
        <v>347</v>
      </c>
      <c r="AJ4" s="10" t="s">
        <v>348</v>
      </c>
      <c r="AK4" s="10" t="s">
        <v>349</v>
      </c>
      <c r="AL4" s="10" t="s">
        <v>331</v>
      </c>
      <c r="AM4" s="107"/>
      <c r="AP4" s="106"/>
    </row>
    <row r="5" spans="1:42" ht="11.25" customHeight="1" x14ac:dyDescent="0.25">
      <c r="A5" s="108" t="s">
        <v>33</v>
      </c>
      <c r="B5" s="108" t="s">
        <v>34</v>
      </c>
      <c r="C5" s="108" t="s">
        <v>25</v>
      </c>
      <c r="D5" s="108" t="s">
        <v>25</v>
      </c>
      <c r="E5" s="108" t="s">
        <v>25</v>
      </c>
      <c r="F5" s="108" t="s">
        <v>25</v>
      </c>
      <c r="G5" s="17" t="s">
        <v>67</v>
      </c>
      <c r="H5" s="17" t="s">
        <v>66</v>
      </c>
      <c r="I5" s="17">
        <f>'MERCADO TUSD'!$U$2</f>
        <v>74615</v>
      </c>
      <c r="J5" s="15"/>
      <c r="L5" s="12">
        <f>'TR TUSD'!$L$5*'TR TUSD'!$L$60</f>
        <v>0</v>
      </c>
      <c r="M5" s="12">
        <f>'TR TUSD'!$M$5*'TR TUSD'!$M$60</f>
        <v>0</v>
      </c>
      <c r="N5" s="12">
        <f ca="1">'TR TUSD'!$N$5*'TR TUSD'!$N$60</f>
        <v>0</v>
      </c>
      <c r="O5" s="12">
        <f>'TR TUSD'!$O$5*'TR TUSD'!$O$60</f>
        <v>0</v>
      </c>
      <c r="P5" s="12">
        <f>'TR TUSD'!$P$5*'TR TUSD'!$P$60</f>
        <v>0</v>
      </c>
      <c r="Q5" s="12">
        <f>'TR TUSD'!$Q$5*'TR TUSD'!$Q$60</f>
        <v>0</v>
      </c>
      <c r="R5" s="12">
        <f>'TR TUSD'!$R$5*'TR TUSD'!$R$60</f>
        <v>0</v>
      </c>
      <c r="S5" s="12">
        <f>'TR TUSD'!$S$5*'TR TUSD'!$S$60</f>
        <v>0</v>
      </c>
      <c r="T5" s="12">
        <f ca="1">SUM($L$5:$S$5)</f>
        <v>0</v>
      </c>
      <c r="U5" s="12">
        <f>'TR TUSD'!$U$5*'TR TUSD'!$U$60</f>
        <v>0</v>
      </c>
      <c r="V5" s="12">
        <f>'TR TUSD'!$V$5*'TR TUSD'!$V$60</f>
        <v>0</v>
      </c>
      <c r="W5" s="12">
        <f>'TR TUSD'!$W$5*'TR TUSD'!$W$60</f>
        <v>0</v>
      </c>
      <c r="X5" s="12">
        <f>'TR TUSD'!$X$5*'TR TUSD'!$X$60</f>
        <v>0</v>
      </c>
      <c r="Y5" s="12">
        <f>'TR TUSD'!$Y$5*'TR TUSD'!$Y$60</f>
        <v>11.818250423713145</v>
      </c>
      <c r="Z5" s="12">
        <f>'TR TUSD'!$Z$5</f>
        <v>0</v>
      </c>
      <c r="AA5" s="12">
        <f>'TR TUSD'!$AA$5</f>
        <v>0</v>
      </c>
      <c r="AB5" s="12">
        <f>SUM($U$5:$AA$5)</f>
        <v>11.818250423713145</v>
      </c>
      <c r="AC5" s="12">
        <f>'TR TUSD'!$AC$5*'TR TUSD'!$AC$60</f>
        <v>29.802953040693978</v>
      </c>
      <c r="AD5" s="12">
        <f>SUM($AC$5:$AC$5)</f>
        <v>29.802953040693978</v>
      </c>
      <c r="AE5" s="12">
        <v>0</v>
      </c>
      <c r="AF5" s="12">
        <v>0</v>
      </c>
      <c r="AG5" s="12">
        <f>SUM($AE$5:$AF$5)</f>
        <v>0</v>
      </c>
      <c r="AH5" s="12">
        <f>'TR TUSD'!$AH$5*'TR TUSD'!$AH$60</f>
        <v>0</v>
      </c>
      <c r="AI5" s="12">
        <f>'TR TUSD'!$AI$5*'TR TUSD'!$AI$60</f>
        <v>0</v>
      </c>
      <c r="AJ5" s="12">
        <f ca="1">'TR TUSD'!$AJ$5*'TR TUSD'!$AJ$60</f>
        <v>0</v>
      </c>
      <c r="AK5" s="12">
        <f ca="1">'TR TUSD'!$AK$5*'TR TUSD'!$AK$60</f>
        <v>0</v>
      </c>
      <c r="AL5" s="12">
        <f ca="1">SUM($AH$5:$AK$5)</f>
        <v>0</v>
      </c>
      <c r="AM5" s="12">
        <f ca="1">SUMIF($L$4:$AL$4,"SUBTOTAL",$L$5:$AL$5)</f>
        <v>41.621203464407124</v>
      </c>
      <c r="AP5" s="12">
        <v>1</v>
      </c>
    </row>
    <row r="6" spans="1:42" ht="11.25" customHeight="1" x14ac:dyDescent="0.25">
      <c r="A6" s="108"/>
      <c r="B6" s="108"/>
      <c r="C6" s="108"/>
      <c r="D6" s="108"/>
      <c r="E6" s="108"/>
      <c r="F6" s="108"/>
      <c r="G6" s="17" t="s">
        <v>68</v>
      </c>
      <c r="H6" s="17" t="s">
        <v>66</v>
      </c>
      <c r="I6" s="17">
        <f>'MERCADO TUSD'!$U$3</f>
        <v>81346</v>
      </c>
      <c r="J6" s="15"/>
      <c r="L6" s="12">
        <f>'TR TUSD'!$L$6*'TR TUSD'!$L$60</f>
        <v>0</v>
      </c>
      <c r="M6" s="12">
        <f>'TR TUSD'!$M$6*'TR TUSD'!$M$60</f>
        <v>0</v>
      </c>
      <c r="N6" s="12">
        <f ca="1">'TR TUSD'!$N$6*'TR TUSD'!$N$60</f>
        <v>0</v>
      </c>
      <c r="O6" s="12">
        <f>'TR TUSD'!$O$6*'TR TUSD'!$O$60</f>
        <v>0</v>
      </c>
      <c r="P6" s="12">
        <f>'TR TUSD'!$P$6*'TR TUSD'!$P$60</f>
        <v>0</v>
      </c>
      <c r="Q6" s="12">
        <f>'TR TUSD'!$Q$6*'TR TUSD'!$Q$60</f>
        <v>0</v>
      </c>
      <c r="R6" s="12">
        <f>'TR TUSD'!$R$6*'TR TUSD'!$R$60</f>
        <v>0</v>
      </c>
      <c r="S6" s="12">
        <f>'TR TUSD'!$S$6*'TR TUSD'!$S$60</f>
        <v>0</v>
      </c>
      <c r="T6" s="12">
        <f ca="1">SUM($L$6:$S$6)</f>
        <v>0</v>
      </c>
      <c r="U6" s="12">
        <f>'TR TUSD'!$U$6*'TR TUSD'!$U$60</f>
        <v>0</v>
      </c>
      <c r="V6" s="12">
        <f>'TR TUSD'!$V$6*'TR TUSD'!$V$60</f>
        <v>0</v>
      </c>
      <c r="W6" s="12">
        <f>'TR TUSD'!$W$6*'TR TUSD'!$W$60</f>
        <v>0</v>
      </c>
      <c r="X6" s="12">
        <f>'TR TUSD'!$X$6*'TR TUSD'!$X$60</f>
        <v>0</v>
      </c>
      <c r="Y6" s="12">
        <f>'TR TUSD'!$Y$6*'TR TUSD'!$Y$60</f>
        <v>6.8028695537379633</v>
      </c>
      <c r="Z6" s="12">
        <f>'TR TUSD'!$Z$6</f>
        <v>0</v>
      </c>
      <c r="AA6" s="12">
        <f>'TR TUSD'!$AA$6</f>
        <v>0</v>
      </c>
      <c r="AB6" s="12">
        <f>SUM($U$6:$AA$6)</f>
        <v>6.8028695537379633</v>
      </c>
      <c r="AC6" s="12">
        <f>'TR TUSD'!$AC$6*'TR TUSD'!$AC$60</f>
        <v>8.1569760057172083</v>
      </c>
      <c r="AD6" s="12">
        <f>SUM($AC$6:$AC$6)</f>
        <v>8.1569760057172083</v>
      </c>
      <c r="AE6" s="12">
        <v>0</v>
      </c>
      <c r="AF6" s="12">
        <v>0</v>
      </c>
      <c r="AG6" s="12">
        <f>SUM($AE$6:$AF$6)</f>
        <v>0</v>
      </c>
      <c r="AH6" s="12">
        <f>'TR TUSD'!$AH$6*'TR TUSD'!$AH$60</f>
        <v>0</v>
      </c>
      <c r="AI6" s="12">
        <f>'TR TUSD'!$AI$6*'TR TUSD'!$AI$60</f>
        <v>0</v>
      </c>
      <c r="AJ6" s="12">
        <f ca="1">'TR TUSD'!$AJ$6*'TR TUSD'!$AJ$60</f>
        <v>0</v>
      </c>
      <c r="AK6" s="12">
        <f ca="1">'TR TUSD'!$AK$6*'TR TUSD'!$AK$60</f>
        <v>0</v>
      </c>
      <c r="AL6" s="12">
        <f ca="1">SUM($AH$6:$AK$6)</f>
        <v>0</v>
      </c>
      <c r="AM6" s="12">
        <f ca="1">SUMIF($L$4:$AL$4,"SUBTOTAL",$L$6:$AL$6)</f>
        <v>14.959845559455172</v>
      </c>
      <c r="AP6" s="12">
        <v>1</v>
      </c>
    </row>
    <row r="7" spans="1:42" ht="11.25" customHeight="1" x14ac:dyDescent="0.25">
      <c r="A7" s="108"/>
      <c r="B7" s="108"/>
      <c r="C7" s="108"/>
      <c r="D7" s="108"/>
      <c r="E7" s="108"/>
      <c r="F7" s="108"/>
      <c r="G7" s="17" t="s">
        <v>69</v>
      </c>
      <c r="H7" s="17" t="s">
        <v>63</v>
      </c>
      <c r="I7" s="17">
        <f>'MERCADO TUSD'!$U$4</f>
        <v>41331.360000000001</v>
      </c>
      <c r="J7" s="15"/>
      <c r="L7" s="12">
        <f>'TR TUSD'!$L$7*'TR TUSD'!$L$60</f>
        <v>0</v>
      </c>
      <c r="M7" s="12">
        <f>'TR TUSD'!$M$7*'TR TUSD'!$M$60</f>
        <v>0.33874302892980962</v>
      </c>
      <c r="N7" s="12">
        <f ca="1">'TR TUSD'!$N$7*'TR TUSD'!$N$60</f>
        <v>0</v>
      </c>
      <c r="O7" s="12">
        <f>'TR TUSD'!$O$7*'TR TUSD'!$O$60</f>
        <v>0</v>
      </c>
      <c r="P7" s="12">
        <f>'TR TUSD'!$P$7*'TR TUSD'!$P$60</f>
        <v>0</v>
      </c>
      <c r="Q7" s="12">
        <f>'TR TUSD'!$Q$7*'TR TUSD'!$Q$60</f>
        <v>75.399590652856759</v>
      </c>
      <c r="R7" s="12">
        <f>'TR TUSD'!$R$7*'TR TUSD'!$R$60</f>
        <v>14.184778271875496</v>
      </c>
      <c r="S7" s="12">
        <f>'TR TUSD'!$S$7*'TR TUSD'!$S$60</f>
        <v>0</v>
      </c>
      <c r="T7" s="12">
        <f ca="1">SUM($L$7:$S$7)</f>
        <v>89.923111953662072</v>
      </c>
      <c r="U7" s="12">
        <f>'TR TUSD'!$U$7*'TR TUSD'!$U$60</f>
        <v>0</v>
      </c>
      <c r="V7" s="12">
        <f>'TR TUSD'!$V$7*'TR TUSD'!$V$60</f>
        <v>0</v>
      </c>
      <c r="W7" s="12">
        <f>'TR TUSD'!$W$7*'TR TUSD'!$W$60</f>
        <v>0</v>
      </c>
      <c r="X7" s="12">
        <f>'TR TUSD'!$X$7*'TR TUSD'!$X$60</f>
        <v>0</v>
      </c>
      <c r="Y7" s="12">
        <f>'TR TUSD'!$Y$7*'TR TUSD'!$Y$60</f>
        <v>0</v>
      </c>
      <c r="Z7" s="12">
        <f>'TR TUSD'!$Z$7</f>
        <v>0</v>
      </c>
      <c r="AA7" s="12">
        <f>'TR TUSD'!$AA$7</f>
        <v>0</v>
      </c>
      <c r="AB7" s="12">
        <f>SUM($U$7:$AA$7)</f>
        <v>0</v>
      </c>
      <c r="AC7" s="12">
        <f>'TR TUSD'!$AC$7*'TR TUSD'!$AC$60</f>
        <v>0</v>
      </c>
      <c r="AD7" s="12">
        <f>SUM($AC$7:$AC$7)</f>
        <v>0</v>
      </c>
      <c r="AE7" s="12">
        <v>0</v>
      </c>
      <c r="AF7" s="12">
        <v>0</v>
      </c>
      <c r="AG7" s="12">
        <f>SUM($AE$7:$AF$7)</f>
        <v>0</v>
      </c>
      <c r="AH7" s="12">
        <f>'TR TUSD'!$AH$7*'TR TUSD'!$AH$60</f>
        <v>6.7651161547820866</v>
      </c>
      <c r="AI7" s="12">
        <f>'TR TUSD'!$AI$7*'TR TUSD'!$AI$60</f>
        <v>0</v>
      </c>
      <c r="AJ7" s="12">
        <f ca="1">'TR TUSD'!$AJ$7*'TR TUSD'!$AJ$60</f>
        <v>0</v>
      </c>
      <c r="AK7" s="12">
        <f ca="1">'TR TUSD'!$AK$7*'TR TUSD'!$AK$60</f>
        <v>0</v>
      </c>
      <c r="AL7" s="12">
        <f ca="1">SUM($AH$7:$AK$7)</f>
        <v>6.7651161547820866</v>
      </c>
      <c r="AM7" s="12">
        <f ca="1">SUMIF($L$4:$AL$4,"SUBTOTAL",$L$7:$AL$7)</f>
        <v>96.688228108444164</v>
      </c>
      <c r="AP7" s="12">
        <v>1</v>
      </c>
    </row>
    <row r="8" spans="1:42" ht="11.25" customHeight="1" x14ac:dyDescent="0.25">
      <c r="A8" s="108"/>
      <c r="B8" s="108"/>
      <c r="C8" s="108"/>
      <c r="D8" s="108"/>
      <c r="E8" s="18" t="s">
        <v>70</v>
      </c>
      <c r="F8" s="18" t="s">
        <v>25</v>
      </c>
      <c r="G8" s="17" t="s">
        <v>69</v>
      </c>
      <c r="H8" s="17" t="s">
        <v>63</v>
      </c>
      <c r="I8" s="17">
        <f>'MERCADO TUSD'!$U$5</f>
        <v>0</v>
      </c>
      <c r="J8" s="15"/>
      <c r="L8" s="12">
        <f>'TR TUSD'!$L$8*'TR TUSD'!$L$60</f>
        <v>0</v>
      </c>
      <c r="M8" s="12">
        <f>'TR TUSD'!$M$8*'TR TUSD'!$M$60</f>
        <v>0.33874302892980962</v>
      </c>
      <c r="N8" s="12">
        <f ca="1">'TR TUSD'!$N$8*'TR TUSD'!$N$60</f>
        <v>0</v>
      </c>
      <c r="O8" s="12">
        <f>'TR TUSD'!$O$8*'TR TUSD'!$O$60</f>
        <v>0</v>
      </c>
      <c r="P8" s="12">
        <f>'TR TUSD'!$P$8*'TR TUSD'!$P$60</f>
        <v>0</v>
      </c>
      <c r="Q8" s="12">
        <f>'TR TUSD'!$Q$8*'TR TUSD'!$Q$60</f>
        <v>0</v>
      </c>
      <c r="R8" s="12">
        <f>'TR TUSD'!$R$8*'TR TUSD'!$R$60</f>
        <v>0</v>
      </c>
      <c r="S8" s="12">
        <f>'TR TUSD'!$S$8*'TR TUSD'!$S$60</f>
        <v>0</v>
      </c>
      <c r="T8" s="12">
        <f ca="1">SUM($L$8:$S$8)</f>
        <v>0.33874302892980962</v>
      </c>
      <c r="U8" s="12">
        <f>'TR TUSD'!$U$8*'TR TUSD'!$U$60</f>
        <v>0</v>
      </c>
      <c r="V8" s="12">
        <f>'TR TUSD'!$V$8*'TR TUSD'!$V$60</f>
        <v>0</v>
      </c>
      <c r="W8" s="12">
        <f>'TR TUSD'!$W$8*'TR TUSD'!$W$60</f>
        <v>0</v>
      </c>
      <c r="X8" s="12">
        <f>'TR TUSD'!$X$8*'TR TUSD'!$X$60</f>
        <v>0</v>
      </c>
      <c r="Y8" s="12">
        <f>'TR TUSD'!$Y$8*'TR TUSD'!$Y$60</f>
        <v>0</v>
      </c>
      <c r="Z8" s="12">
        <f>'TR TUSD'!$Z$8</f>
        <v>0</v>
      </c>
      <c r="AA8" s="12">
        <f>'TR TUSD'!$AA$8</f>
        <v>0</v>
      </c>
      <c r="AB8" s="12">
        <f>SUM($U$8:$AA$8)</f>
        <v>0</v>
      </c>
      <c r="AC8" s="12">
        <f>'TR TUSD'!$AC$8*'TR TUSD'!$AC$60</f>
        <v>0</v>
      </c>
      <c r="AD8" s="12">
        <f>SUM($AC$8:$AC$8)</f>
        <v>0</v>
      </c>
      <c r="AE8" s="12">
        <v>0</v>
      </c>
      <c r="AF8" s="12">
        <v>0</v>
      </c>
      <c r="AG8" s="12">
        <f>SUM($AE$8:$AF$8)</f>
        <v>0</v>
      </c>
      <c r="AH8" s="12">
        <f>'TR TUSD'!$AH$8*'TR TUSD'!$AH$60</f>
        <v>6.7651161547820866</v>
      </c>
      <c r="AI8" s="12">
        <f>'TR TUSD'!$AI$8*'TR TUSD'!$AI$60</f>
        <v>0</v>
      </c>
      <c r="AJ8" s="12">
        <f ca="1">'TR TUSD'!$AJ$8*'TR TUSD'!$AJ$60</f>
        <v>0</v>
      </c>
      <c r="AK8" s="12">
        <f ca="1">'TR TUSD'!$AK$8*'TR TUSD'!$AK$60</f>
        <v>0</v>
      </c>
      <c r="AL8" s="12">
        <f ca="1">SUM($AH$8:$AK$8)</f>
        <v>6.7651161547820866</v>
      </c>
      <c r="AM8" s="12">
        <f ca="1">SUMIF($L$4:$AL$4,"SUBTOTAL",$L$8:$AL$8)</f>
        <v>7.1038591837118963</v>
      </c>
      <c r="AP8" s="12">
        <v>1</v>
      </c>
    </row>
    <row r="9" spans="1:42" ht="11.25" customHeight="1" x14ac:dyDescent="0.25">
      <c r="A9" s="108"/>
      <c r="B9" s="18" t="s">
        <v>71</v>
      </c>
      <c r="C9" s="18" t="s">
        <v>25</v>
      </c>
      <c r="D9" s="18" t="s">
        <v>25</v>
      </c>
      <c r="E9" s="18" t="s">
        <v>25</v>
      </c>
      <c r="F9" s="18" t="s">
        <v>25</v>
      </c>
      <c r="G9" s="17" t="s">
        <v>9</v>
      </c>
      <c r="H9" s="17" t="s">
        <v>66</v>
      </c>
      <c r="I9" s="17">
        <f>'MERCADO TUSD'!$U$6</f>
        <v>0</v>
      </c>
      <c r="J9" s="15"/>
      <c r="L9" s="12">
        <f>'TR TUSD'!$L$9*'TR TUSD'!$L$60</f>
        <v>0</v>
      </c>
      <c r="M9" s="12">
        <f>'TR TUSD'!$M$9*'TR TUSD'!$M$60</f>
        <v>1.1774838956606692E-2</v>
      </c>
      <c r="N9" s="12">
        <f ca="1">'TR TUSD'!$N$9*'TR TUSD'!$N$60</f>
        <v>0</v>
      </c>
      <c r="O9" s="12">
        <f>'TR TUSD'!$O$9*'TR TUSD'!$O$60</f>
        <v>0</v>
      </c>
      <c r="P9" s="12">
        <f>'TR TUSD'!$P$9*'TR TUSD'!$P$60</f>
        <v>0</v>
      </c>
      <c r="Q9" s="12">
        <f>'TR TUSD'!$Q$9*'TR TUSD'!$Q$60</f>
        <v>0</v>
      </c>
      <c r="R9" s="12">
        <f>'TR TUSD'!$R$9*'TR TUSD'!$R$60</f>
        <v>0</v>
      </c>
      <c r="S9" s="12">
        <f>'TR TUSD'!$S$9*'TR TUSD'!$S$60</f>
        <v>0</v>
      </c>
      <c r="T9" s="12">
        <f ca="1">SUM($L$9:$S$9)</f>
        <v>1.1774838956606692E-2</v>
      </c>
      <c r="U9" s="12">
        <f>'TR TUSD'!$U$9*'TR TUSD'!$U$60</f>
        <v>0</v>
      </c>
      <c r="V9" s="12">
        <f>'TR TUSD'!$V$9*'TR TUSD'!$V$60</f>
        <v>0</v>
      </c>
      <c r="W9" s="12">
        <f>'TR TUSD'!$W$9*'TR TUSD'!$W$60</f>
        <v>0</v>
      </c>
      <c r="X9" s="12">
        <f>'TR TUSD'!$X$9*'TR TUSD'!$X$60</f>
        <v>0</v>
      </c>
      <c r="Y9" s="12">
        <f>'TR TUSD'!$Y$9*'TR TUSD'!$Y$60</f>
        <v>0</v>
      </c>
      <c r="Z9" s="12">
        <f>'TR TUSD'!$Z$9*'TR TUSD'!$Z$60</f>
        <v>0</v>
      </c>
      <c r="AA9" s="12">
        <f>'TR TUSD'!$AA$9*'TR TUSD'!$AA$60</f>
        <v>0</v>
      </c>
      <c r="AB9" s="12">
        <f>SUM($U$9:$AA$9)</f>
        <v>0</v>
      </c>
      <c r="AC9" s="12">
        <f>'TR TUSD'!$AC$9*'TR TUSD'!$AC$60</f>
        <v>4.5526295665628354</v>
      </c>
      <c r="AD9" s="12">
        <f>SUM($AC$9:$AC$9)</f>
        <v>4.5526295665628354</v>
      </c>
      <c r="AE9" s="12">
        <v>0</v>
      </c>
      <c r="AF9" s="12">
        <v>0</v>
      </c>
      <c r="AG9" s="12">
        <f>SUM($AE$9:$AF$9)</f>
        <v>0</v>
      </c>
      <c r="AH9" s="12">
        <f>'TR TUSD'!$AH$9*'TR TUSD'!$AH$60</f>
        <v>3.1522837494907442E-4</v>
      </c>
      <c r="AI9" s="12">
        <f>'TR TUSD'!$AI$9*'TR TUSD'!$AI$60</f>
        <v>0</v>
      </c>
      <c r="AJ9" s="12">
        <f ca="1">'TR TUSD'!$AJ$9*'TR TUSD'!$AJ$60</f>
        <v>0</v>
      </c>
      <c r="AK9" s="12">
        <f ca="1">'TR TUSD'!$AK$9*'TR TUSD'!$AK$60</f>
        <v>0</v>
      </c>
      <c r="AL9" s="12">
        <f ca="1">SUM($AH$9:$AK$9)</f>
        <v>3.1522837494907442E-4</v>
      </c>
      <c r="AM9" s="12">
        <f ca="1">SUMIF($L$4:$AL$4,"SUBTOTAL",$L$9:$AL$9)</f>
        <v>4.5647196338943905</v>
      </c>
      <c r="AP9" s="12"/>
    </row>
    <row r="10" spans="1:42" ht="11.25" customHeight="1" x14ac:dyDescent="0.25">
      <c r="A10" s="108"/>
      <c r="B10" s="108" t="s">
        <v>37</v>
      </c>
      <c r="C10" s="108" t="s">
        <v>25</v>
      </c>
      <c r="D10" s="108" t="s">
        <v>25</v>
      </c>
      <c r="E10" s="108" t="s">
        <v>25</v>
      </c>
      <c r="F10" s="108" t="s">
        <v>25</v>
      </c>
      <c r="G10" s="17" t="s">
        <v>9</v>
      </c>
      <c r="H10" s="17" t="s">
        <v>66</v>
      </c>
      <c r="I10" s="17">
        <f>'MERCADO TUSD'!$U$7</f>
        <v>44787</v>
      </c>
      <c r="J10" s="15"/>
      <c r="L10" s="12">
        <f>'TR TUSD'!$L$10*'TR TUSD'!$L$60</f>
        <v>0</v>
      </c>
      <c r="M10" s="12">
        <f>'TR TUSD'!$M$10*'TR TUSD'!$M$60</f>
        <v>0</v>
      </c>
      <c r="N10" s="12">
        <f ca="1">'TR TUSD'!$N$10*'TR TUSD'!$N$60</f>
        <v>0</v>
      </c>
      <c r="O10" s="12">
        <f>'TR TUSD'!$O$10*'TR TUSD'!$O$60</f>
        <v>0</v>
      </c>
      <c r="P10" s="12">
        <f>'TR TUSD'!$P$10*'TR TUSD'!$P$60</f>
        <v>0</v>
      </c>
      <c r="Q10" s="12">
        <f>'TR TUSD'!$Q$10*'TR TUSD'!$Q$60</f>
        <v>0</v>
      </c>
      <c r="R10" s="12">
        <f>'TR TUSD'!$R$10*'TR TUSD'!$R$60</f>
        <v>0</v>
      </c>
      <c r="S10" s="12">
        <f>'TR TUSD'!$S$10*'TR TUSD'!$S$60</f>
        <v>0</v>
      </c>
      <c r="T10" s="12">
        <f ca="1">SUM($L$10:$S$10)</f>
        <v>0</v>
      </c>
      <c r="U10" s="12">
        <f>'TR TUSD'!$U$10*'TR TUSD'!$U$60</f>
        <v>0</v>
      </c>
      <c r="V10" s="12">
        <f>'TR TUSD'!$V$10*'TR TUSD'!$V$60</f>
        <v>0</v>
      </c>
      <c r="W10" s="12">
        <f>'TR TUSD'!$W$10*'TR TUSD'!$W$60</f>
        <v>0</v>
      </c>
      <c r="X10" s="12">
        <f>'TR TUSD'!$X$10*'TR TUSD'!$X$60</f>
        <v>0</v>
      </c>
      <c r="Y10" s="12">
        <f>'TR TUSD'!$Y$10*'TR TUSD'!$Y$60</f>
        <v>6.8028695537379633</v>
      </c>
      <c r="Z10" s="12">
        <f>'TR TUSD'!$Z$10</f>
        <v>0</v>
      </c>
      <c r="AA10" s="12">
        <f>'TR TUSD'!$AA$10</f>
        <v>0</v>
      </c>
      <c r="AB10" s="12">
        <f>SUM($U$10:$AA$10)</f>
        <v>6.8028695537379633</v>
      </c>
      <c r="AC10" s="12">
        <f>'TR TUSD'!$AC$10*'TR TUSD'!$AC$60</f>
        <v>8.1569760057172083</v>
      </c>
      <c r="AD10" s="12">
        <f>SUM($AC$10:$AC$10)</f>
        <v>8.1569760057172083</v>
      </c>
      <c r="AE10" s="12">
        <v>0</v>
      </c>
      <c r="AF10" s="12">
        <v>0</v>
      </c>
      <c r="AG10" s="12">
        <f>SUM($AE$10:$AF$10)</f>
        <v>0</v>
      </c>
      <c r="AH10" s="12">
        <f>'TR TUSD'!$AH$10*'TR TUSD'!$AH$60</f>
        <v>0</v>
      </c>
      <c r="AI10" s="12">
        <f>'TR TUSD'!$AI$10*'TR TUSD'!$AI$60</f>
        <v>0</v>
      </c>
      <c r="AJ10" s="12">
        <f ca="1">'TR TUSD'!$AJ$10*'TR TUSD'!$AJ$60</f>
        <v>0</v>
      </c>
      <c r="AK10" s="12">
        <f ca="1">'TR TUSD'!$AK$10*'TR TUSD'!$AK$60</f>
        <v>0</v>
      </c>
      <c r="AL10" s="12">
        <f ca="1">SUM($AH$10:$AK$10)</f>
        <v>0</v>
      </c>
      <c r="AM10" s="12">
        <f ca="1">SUMIF($L$4:$AL$4,"SUBTOTAL",$L$10:$AL$10)</f>
        <v>14.959845559455172</v>
      </c>
      <c r="AP10" s="12">
        <v>1</v>
      </c>
    </row>
    <row r="11" spans="1:42" ht="11.25" customHeight="1" x14ac:dyDescent="0.25">
      <c r="A11" s="108"/>
      <c r="B11" s="108"/>
      <c r="C11" s="108"/>
      <c r="D11" s="108"/>
      <c r="E11" s="108"/>
      <c r="F11" s="108"/>
      <c r="G11" s="17" t="s">
        <v>64</v>
      </c>
      <c r="H11" s="17" t="s">
        <v>63</v>
      </c>
      <c r="I11" s="17">
        <f>'MERCADO TUSD'!$U$8</f>
        <v>771.01699999999994</v>
      </c>
      <c r="J11" s="15"/>
      <c r="L11" s="12">
        <f>'TR TUSD'!$L$11*'TR TUSD'!$L$60</f>
        <v>0</v>
      </c>
      <c r="M11" s="12">
        <f>'TR TUSD'!$M$11*'TR TUSD'!$M$60</f>
        <v>0.33874302892980962</v>
      </c>
      <c r="N11" s="12">
        <f ca="1">'TR TUSD'!$N$11*'TR TUSD'!$N$60</f>
        <v>0</v>
      </c>
      <c r="O11" s="12">
        <f>'TR TUSD'!$O$11*'TR TUSD'!$O$60</f>
        <v>0</v>
      </c>
      <c r="P11" s="12">
        <f>'TR TUSD'!$P$11*'TR TUSD'!$P$60</f>
        <v>0</v>
      </c>
      <c r="Q11" s="12">
        <f>'TR TUSD'!$Q$11*'TR TUSD'!$Q$60</f>
        <v>75.399590652856759</v>
      </c>
      <c r="R11" s="12">
        <f>'TR TUSD'!$R$11*'TR TUSD'!$R$60</f>
        <v>14.184778271875496</v>
      </c>
      <c r="S11" s="12">
        <f>'TR TUSD'!$S$11*'TR TUSD'!$S$60</f>
        <v>0</v>
      </c>
      <c r="T11" s="12">
        <f ca="1">SUM($L$11:$S$11)</f>
        <v>89.923111953662072</v>
      </c>
      <c r="U11" s="12">
        <f>'TR TUSD'!$U$11*'TR TUSD'!$U$60</f>
        <v>0</v>
      </c>
      <c r="V11" s="12">
        <f>'TR TUSD'!$V$11*'TR TUSD'!$V$60</f>
        <v>0</v>
      </c>
      <c r="W11" s="12">
        <f>'TR TUSD'!$W$11*'TR TUSD'!$W$60</f>
        <v>0</v>
      </c>
      <c r="X11" s="12">
        <f>'TR TUSD'!$X$11*'TR TUSD'!$X$60</f>
        <v>0</v>
      </c>
      <c r="Y11" s="12">
        <f>'TR TUSD'!$Y$11*'TR TUSD'!$Y$60</f>
        <v>284.38424330893878</v>
      </c>
      <c r="Z11" s="12">
        <f>'TR TUSD'!$Z$11</f>
        <v>0</v>
      </c>
      <c r="AA11" s="12">
        <f>'TR TUSD'!$AA$11</f>
        <v>0</v>
      </c>
      <c r="AB11" s="12">
        <f>SUM($U$11:$AA$11)</f>
        <v>284.38424330893878</v>
      </c>
      <c r="AC11" s="12">
        <f>'TR TUSD'!$AC$11*'TR TUSD'!$AC$60</f>
        <v>716.76051695043884</v>
      </c>
      <c r="AD11" s="12">
        <f>SUM($AC$11:$AC$11)</f>
        <v>716.76051695043884</v>
      </c>
      <c r="AE11" s="12">
        <v>0</v>
      </c>
      <c r="AF11" s="12">
        <v>0</v>
      </c>
      <c r="AG11" s="12">
        <f>SUM($AE$11:$AF$11)</f>
        <v>0</v>
      </c>
      <c r="AH11" s="12">
        <f>'TR TUSD'!$AH$11*'TR TUSD'!$AH$60</f>
        <v>6.7651161547820866</v>
      </c>
      <c r="AI11" s="12">
        <f>'TR TUSD'!$AI$11*'TR TUSD'!$AI$60</f>
        <v>0</v>
      </c>
      <c r="AJ11" s="12">
        <f ca="1">'TR TUSD'!$AJ$11*'TR TUSD'!$AJ$60</f>
        <v>0</v>
      </c>
      <c r="AK11" s="12">
        <f ca="1">'TR TUSD'!$AK$11*'TR TUSD'!$AK$60</f>
        <v>0</v>
      </c>
      <c r="AL11" s="12">
        <f ca="1">SUM($AH$11:$AK$11)</f>
        <v>6.7651161547820866</v>
      </c>
      <c r="AM11" s="12">
        <f ca="1">SUMIF($L$4:$AL$4,"SUBTOTAL",$L$11:$AL$11)</f>
        <v>1097.8329883678218</v>
      </c>
      <c r="AP11" s="12">
        <v>1</v>
      </c>
    </row>
    <row r="12" spans="1:42" ht="11.25" customHeight="1" x14ac:dyDescent="0.25">
      <c r="A12" s="108"/>
      <c r="B12" s="108"/>
      <c r="C12" s="108"/>
      <c r="D12" s="108"/>
      <c r="E12" s="108"/>
      <c r="F12" s="108"/>
      <c r="G12" s="17" t="s">
        <v>65</v>
      </c>
      <c r="H12" s="17" t="s">
        <v>63</v>
      </c>
      <c r="I12" s="17">
        <f>'MERCADO TUSD'!$U$9</f>
        <v>9023.5770000000011</v>
      </c>
      <c r="J12" s="15"/>
      <c r="L12" s="12">
        <f>'TR TUSD'!$L$12*'TR TUSD'!$L$60</f>
        <v>0</v>
      </c>
      <c r="M12" s="12">
        <f>'TR TUSD'!$M$12*'TR TUSD'!$M$60</f>
        <v>0.33874302892980962</v>
      </c>
      <c r="N12" s="12">
        <f ca="1">'TR TUSD'!$N$12*'TR TUSD'!$N$60</f>
        <v>0</v>
      </c>
      <c r="O12" s="12">
        <f>'TR TUSD'!$O$12*'TR TUSD'!$O$60</f>
        <v>0</v>
      </c>
      <c r="P12" s="12">
        <f>'TR TUSD'!$P$12*'TR TUSD'!$P$60</f>
        <v>0</v>
      </c>
      <c r="Q12" s="12">
        <f>'TR TUSD'!$Q$12*'TR TUSD'!$Q$60</f>
        <v>75.399590652856759</v>
      </c>
      <c r="R12" s="12">
        <f>'TR TUSD'!$R$12*'TR TUSD'!$R$60</f>
        <v>14.184778271875496</v>
      </c>
      <c r="S12" s="12">
        <f>'TR TUSD'!$S$12*'TR TUSD'!$S$60</f>
        <v>0</v>
      </c>
      <c r="T12" s="12">
        <f ca="1">SUM($L$12:$S$12)</f>
        <v>89.923111953662072</v>
      </c>
      <c r="U12" s="12">
        <f>'TR TUSD'!$U$12*'TR TUSD'!$U$60</f>
        <v>0</v>
      </c>
      <c r="V12" s="12">
        <f>'TR TUSD'!$V$12*'TR TUSD'!$V$60</f>
        <v>0</v>
      </c>
      <c r="W12" s="12">
        <f>'TR TUSD'!$W$12*'TR TUSD'!$W$60</f>
        <v>0</v>
      </c>
      <c r="X12" s="12">
        <f>'TR TUSD'!$X$12*'TR TUSD'!$X$60</f>
        <v>0</v>
      </c>
      <c r="Y12" s="12">
        <f>'TR TUSD'!$Y$12*'TR TUSD'!$Y$60</f>
        <v>0</v>
      </c>
      <c r="Z12" s="12">
        <f>'TR TUSD'!$Z$12</f>
        <v>0</v>
      </c>
      <c r="AA12" s="12">
        <f>'TR TUSD'!$AA$12</f>
        <v>0</v>
      </c>
      <c r="AB12" s="12">
        <f>SUM($U$12:$AA$12)</f>
        <v>0</v>
      </c>
      <c r="AC12" s="12">
        <f>'TR TUSD'!$AC$12*'TR TUSD'!$AC$60</f>
        <v>0</v>
      </c>
      <c r="AD12" s="12">
        <f>SUM($AC$12:$AC$12)</f>
        <v>0</v>
      </c>
      <c r="AE12" s="12">
        <v>0</v>
      </c>
      <c r="AF12" s="12">
        <v>0</v>
      </c>
      <c r="AG12" s="12">
        <f>SUM($AE$12:$AF$12)</f>
        <v>0</v>
      </c>
      <c r="AH12" s="12">
        <f>'TR TUSD'!$AH$12*'TR TUSD'!$AH$60</f>
        <v>6.7651161547820866</v>
      </c>
      <c r="AI12" s="12">
        <f>'TR TUSD'!$AI$12*'TR TUSD'!$AI$60</f>
        <v>0</v>
      </c>
      <c r="AJ12" s="12">
        <f ca="1">'TR TUSD'!$AJ$12*'TR TUSD'!$AJ$60</f>
        <v>0</v>
      </c>
      <c r="AK12" s="12">
        <f ca="1">'TR TUSD'!$AK$12*'TR TUSD'!$AK$60</f>
        <v>0</v>
      </c>
      <c r="AL12" s="12">
        <f ca="1">SUM($AH$12:$AK$12)</f>
        <v>6.7651161547820866</v>
      </c>
      <c r="AM12" s="12">
        <f ca="1">SUMIF($L$4:$AL$4,"SUBTOTAL",$L$12:$AL$12)</f>
        <v>96.688228108444164</v>
      </c>
      <c r="AP12" s="12">
        <v>1</v>
      </c>
    </row>
    <row r="13" spans="1:42" ht="11.25" customHeight="1" x14ac:dyDescent="0.25">
      <c r="A13" s="108"/>
      <c r="B13" s="108"/>
      <c r="C13" s="108"/>
      <c r="D13" s="108"/>
      <c r="E13" s="108" t="s">
        <v>70</v>
      </c>
      <c r="F13" s="108" t="s">
        <v>25</v>
      </c>
      <c r="G13" s="17" t="s">
        <v>64</v>
      </c>
      <c r="H13" s="17" t="s">
        <v>63</v>
      </c>
      <c r="I13" s="17">
        <f>'MERCADO TUSD'!$U$10</f>
        <v>0</v>
      </c>
      <c r="J13" s="15"/>
      <c r="L13" s="12">
        <f>'TR TUSD'!$L$13*'TR TUSD'!$L$60</f>
        <v>0</v>
      </c>
      <c r="M13" s="12">
        <f>'TR TUSD'!$M$13*'TR TUSD'!$M$60</f>
        <v>0.33874302892980962</v>
      </c>
      <c r="N13" s="12">
        <f ca="1">'TR TUSD'!$N$13*'TR TUSD'!$N$60</f>
        <v>0</v>
      </c>
      <c r="O13" s="12">
        <f>'TR TUSD'!$O$13*'TR TUSD'!$O$60</f>
        <v>0</v>
      </c>
      <c r="P13" s="12">
        <f>'TR TUSD'!$P$13*'TR TUSD'!$P$60</f>
        <v>0</v>
      </c>
      <c r="Q13" s="12">
        <f>'TR TUSD'!$Q$13*'TR TUSD'!$Q$60</f>
        <v>0</v>
      </c>
      <c r="R13" s="12">
        <f>'TR TUSD'!$R$13*'TR TUSD'!$R$60</f>
        <v>0</v>
      </c>
      <c r="S13" s="12">
        <f>'TR TUSD'!$S$13*'TR TUSD'!$S$60</f>
        <v>0</v>
      </c>
      <c r="T13" s="12">
        <f ca="1">SUM($L$13:$S$13)</f>
        <v>0.33874302892980962</v>
      </c>
      <c r="U13" s="12">
        <f>'TR TUSD'!$U$13*'TR TUSD'!$U$60</f>
        <v>0</v>
      </c>
      <c r="V13" s="12">
        <f>'TR TUSD'!$V$13*'TR TUSD'!$V$60</f>
        <v>0</v>
      </c>
      <c r="W13" s="12">
        <f>'TR TUSD'!$W$13*'TR TUSD'!$W$60</f>
        <v>0</v>
      </c>
      <c r="X13" s="12">
        <f>'TR TUSD'!$X$13*'TR TUSD'!$X$60</f>
        <v>0</v>
      </c>
      <c r="Y13" s="12">
        <f>'TR TUSD'!$Y$13*'TR TUSD'!$Y$60</f>
        <v>284.38424330893878</v>
      </c>
      <c r="Z13" s="12">
        <f>'TR TUSD'!$Z$13</f>
        <v>0</v>
      </c>
      <c r="AA13" s="12">
        <f>'TR TUSD'!$AA$13</f>
        <v>0</v>
      </c>
      <c r="AB13" s="12">
        <f>SUM($U$13:$AA$13)</f>
        <v>284.38424330893878</v>
      </c>
      <c r="AC13" s="12">
        <f>'TR TUSD'!$AC$13*'TR TUSD'!$AC$60</f>
        <v>716.76051695043884</v>
      </c>
      <c r="AD13" s="12">
        <f>SUM($AC$13:$AC$13)</f>
        <v>716.76051695043884</v>
      </c>
      <c r="AE13" s="12">
        <v>0</v>
      </c>
      <c r="AF13" s="12">
        <v>0</v>
      </c>
      <c r="AG13" s="12">
        <f>SUM($AE$13:$AF$13)</f>
        <v>0</v>
      </c>
      <c r="AH13" s="12">
        <f>'TR TUSD'!$AH$13*'TR TUSD'!$AH$60</f>
        <v>6.7651161547820866</v>
      </c>
      <c r="AI13" s="12">
        <f>'TR TUSD'!$AI$13*'TR TUSD'!$AI$60</f>
        <v>0</v>
      </c>
      <c r="AJ13" s="12">
        <f ca="1">'TR TUSD'!$AJ$13*'TR TUSD'!$AJ$60</f>
        <v>0</v>
      </c>
      <c r="AK13" s="12">
        <f ca="1">'TR TUSD'!$AK$13*'TR TUSD'!$AK$60</f>
        <v>0</v>
      </c>
      <c r="AL13" s="12">
        <f ca="1">SUM($AH$13:$AK$13)</f>
        <v>6.7651161547820866</v>
      </c>
      <c r="AM13" s="12">
        <f ca="1">SUMIF($L$4:$AL$4,"SUBTOTAL",$L$13:$AL$13)</f>
        <v>1008.2486194430895</v>
      </c>
      <c r="AP13" s="12">
        <v>1</v>
      </c>
    </row>
    <row r="14" spans="1:42" ht="11.25" customHeight="1" x14ac:dyDescent="0.25">
      <c r="A14" s="108"/>
      <c r="B14" s="108"/>
      <c r="C14" s="108"/>
      <c r="D14" s="108"/>
      <c r="E14" s="108"/>
      <c r="F14" s="108"/>
      <c r="G14" s="17" t="s">
        <v>65</v>
      </c>
      <c r="H14" s="17" t="s">
        <v>63</v>
      </c>
      <c r="I14" s="17">
        <f>'MERCADO TUSD'!$U$11</f>
        <v>0</v>
      </c>
      <c r="J14" s="15"/>
      <c r="L14" s="12">
        <f>'TR TUSD'!$L$14*'TR TUSD'!$L$60</f>
        <v>0</v>
      </c>
      <c r="M14" s="12">
        <f>'TR TUSD'!$M$14*'TR TUSD'!$M$60</f>
        <v>0.33874302892980962</v>
      </c>
      <c r="N14" s="12">
        <f ca="1">'TR TUSD'!$N$14*'TR TUSD'!$N$60</f>
        <v>0</v>
      </c>
      <c r="O14" s="12">
        <f>'TR TUSD'!$O$14*'TR TUSD'!$O$60</f>
        <v>0</v>
      </c>
      <c r="P14" s="12">
        <f>'TR TUSD'!$P$14*'TR TUSD'!$P$60</f>
        <v>0</v>
      </c>
      <c r="Q14" s="12">
        <f>'TR TUSD'!$Q$14*'TR TUSD'!$Q$60</f>
        <v>0</v>
      </c>
      <c r="R14" s="12">
        <f>'TR TUSD'!$R$14*'TR TUSD'!$R$60</f>
        <v>0</v>
      </c>
      <c r="S14" s="12">
        <f>'TR TUSD'!$S$14*'TR TUSD'!$S$60</f>
        <v>0</v>
      </c>
      <c r="T14" s="12">
        <f ca="1">SUM($L$14:$S$14)</f>
        <v>0.33874302892980962</v>
      </c>
      <c r="U14" s="12">
        <f>'TR TUSD'!$U$14*'TR TUSD'!$U$60</f>
        <v>0</v>
      </c>
      <c r="V14" s="12">
        <f>'TR TUSD'!$V$14*'TR TUSD'!$V$60</f>
        <v>0</v>
      </c>
      <c r="W14" s="12">
        <f>'TR TUSD'!$W$14*'TR TUSD'!$W$60</f>
        <v>0</v>
      </c>
      <c r="X14" s="12">
        <f>'TR TUSD'!$X$14*'TR TUSD'!$X$60</f>
        <v>0</v>
      </c>
      <c r="Y14" s="12">
        <f>'TR TUSD'!$Y$14*'TR TUSD'!$Y$60</f>
        <v>0</v>
      </c>
      <c r="Z14" s="12">
        <f>'TR TUSD'!$Z$14</f>
        <v>0</v>
      </c>
      <c r="AA14" s="12">
        <f>'TR TUSD'!$AA$14</f>
        <v>0</v>
      </c>
      <c r="AB14" s="12">
        <f>SUM($U$14:$AA$14)</f>
        <v>0</v>
      </c>
      <c r="AC14" s="12">
        <f>'TR TUSD'!$AC$14*'TR TUSD'!$AC$60</f>
        <v>0</v>
      </c>
      <c r="AD14" s="12">
        <f>SUM($AC$14:$AC$14)</f>
        <v>0</v>
      </c>
      <c r="AE14" s="12">
        <v>0</v>
      </c>
      <c r="AF14" s="12">
        <v>0</v>
      </c>
      <c r="AG14" s="12">
        <f>SUM($AE$14:$AF$14)</f>
        <v>0</v>
      </c>
      <c r="AH14" s="12">
        <f>'TR TUSD'!$AH$14*'TR TUSD'!$AH$60</f>
        <v>6.7651161547820866</v>
      </c>
      <c r="AI14" s="12">
        <f>'TR TUSD'!$AI$14*'TR TUSD'!$AI$60</f>
        <v>0</v>
      </c>
      <c r="AJ14" s="12">
        <f ca="1">'TR TUSD'!$AJ$14*'TR TUSD'!$AJ$60</f>
        <v>0</v>
      </c>
      <c r="AK14" s="12">
        <f ca="1">'TR TUSD'!$AK$14*'TR TUSD'!$AK$60</f>
        <v>0</v>
      </c>
      <c r="AL14" s="12">
        <f ca="1">SUM($AH$14:$AK$14)</f>
        <v>6.7651161547820866</v>
      </c>
      <c r="AM14" s="12">
        <f ca="1">SUMIF($L$4:$AL$4,"SUBTOTAL",$L$14:$AL$14)</f>
        <v>7.1038591837118963</v>
      </c>
      <c r="AP14" s="12">
        <v>1</v>
      </c>
    </row>
    <row r="15" spans="1:42" ht="11.25" customHeight="1" x14ac:dyDescent="0.25">
      <c r="A15" s="108" t="s">
        <v>72</v>
      </c>
      <c r="B15" s="108" t="s">
        <v>71</v>
      </c>
      <c r="C15" s="108" t="s">
        <v>25</v>
      </c>
      <c r="D15" s="108" t="s">
        <v>25</v>
      </c>
      <c r="E15" s="18" t="s">
        <v>73</v>
      </c>
      <c r="F15" s="18" t="s">
        <v>25</v>
      </c>
      <c r="G15" s="17" t="s">
        <v>9</v>
      </c>
      <c r="H15" s="17" t="s">
        <v>66</v>
      </c>
      <c r="I15" s="17">
        <f>'MERCADO TUSD'!$U$12+0.00000001</f>
        <v>1E-8</v>
      </c>
      <c r="J15" s="15"/>
      <c r="L15" s="12">
        <f>'TR TUSD'!$L$15*'TR TUSD'!$L$60</f>
        <v>0</v>
      </c>
      <c r="M15" s="12">
        <f>'TR TUSD'!$M$15*'TR TUSD'!$M$60</f>
        <v>6.7428564965183622E-3</v>
      </c>
      <c r="N15" s="12">
        <f ca="1">'TR TUSD'!$N$15*'TR TUSD'!$N$60</f>
        <v>0</v>
      </c>
      <c r="O15" s="12">
        <f>'TR TUSD'!$O$15*'TR TUSD'!$O$60</f>
        <v>0</v>
      </c>
      <c r="P15" s="12">
        <f>'TR TUSD'!$P$15*'TR TUSD'!$P$60</f>
        <v>0</v>
      </c>
      <c r="Q15" s="12">
        <f>'TR TUSD'!$Q$15*'TR TUSD'!$Q$60</f>
        <v>0</v>
      </c>
      <c r="R15" s="12">
        <f>'TR TUSD'!$R$15*'TR TUSD'!$R$60</f>
        <v>0</v>
      </c>
      <c r="S15" s="12">
        <f>'TR TUSD'!$S$15*'TR TUSD'!$S$60</f>
        <v>0</v>
      </c>
      <c r="T15" s="12">
        <f ca="1">SUM($L$15:$S$15)</f>
        <v>6.7428564965183622E-3</v>
      </c>
      <c r="U15" s="12">
        <f>'TR TUSD'!$U$15*'TR TUSD'!$U$60</f>
        <v>0</v>
      </c>
      <c r="V15" s="12">
        <f>'TR TUSD'!$V$15*'TR TUSD'!$V$60</f>
        <v>0</v>
      </c>
      <c r="W15" s="12">
        <f>'TR TUSD'!$W$15*'TR TUSD'!$W$60</f>
        <v>0</v>
      </c>
      <c r="X15" s="12">
        <f>'TR TUSD'!$X$15*'TR TUSD'!$X$60</f>
        <v>0</v>
      </c>
      <c r="Y15" s="12">
        <f>'TR TUSD'!$Y$15*'TR TUSD'!$Y$60</f>
        <v>0</v>
      </c>
      <c r="Z15" s="12">
        <f>'TR TUSD'!$Z$15*'TR TUSD'!$Z$60</f>
        <v>0</v>
      </c>
      <c r="AA15" s="12">
        <f>'TR TUSD'!$AA$15*'TR TUSD'!$AA$60</f>
        <v>0</v>
      </c>
      <c r="AB15" s="12">
        <f>SUM($U$15:$AA$15)</f>
        <v>0</v>
      </c>
      <c r="AC15" s="12">
        <f>'TR TUSD'!$AC$15*'TR TUSD'!$AC$60</f>
        <v>2.6151472266419891</v>
      </c>
      <c r="AD15" s="12">
        <f>SUM($AC$15:$AC$15)</f>
        <v>2.6151472266419891</v>
      </c>
      <c r="AE15" s="12">
        <v>0</v>
      </c>
      <c r="AF15" s="12">
        <v>0</v>
      </c>
      <c r="AG15" s="12">
        <f>SUM($AE$15:$AF$15)</f>
        <v>0</v>
      </c>
      <c r="AH15" s="12">
        <f>'TR TUSD'!$AH$15*'TR TUSD'!$AH$60</f>
        <v>0</v>
      </c>
      <c r="AI15" s="12">
        <f>'TR TUSD'!$AI$15*'TR TUSD'!$AI$60</f>
        <v>0</v>
      </c>
      <c r="AJ15" s="12">
        <f ca="1">'TR TUSD'!$AJ$15*'TR TUSD'!$AJ$60</f>
        <v>0</v>
      </c>
      <c r="AK15" s="12">
        <f ca="1">'TR TUSD'!$AK$15*'TR TUSD'!$AK$60</f>
        <v>0</v>
      </c>
      <c r="AL15" s="12">
        <f ca="1">SUM($AH$15:$AK$15)</f>
        <v>0</v>
      </c>
      <c r="AM15" s="12">
        <f ca="1">SUMIF($L$4:$AL$4,"SUBTOTAL",$L$15:$AL$15)</f>
        <v>2.6218900831385072</v>
      </c>
      <c r="AP15" s="12"/>
    </row>
    <row r="16" spans="1:42" ht="11.25" customHeight="1" x14ac:dyDescent="0.25">
      <c r="A16" s="108"/>
      <c r="B16" s="108"/>
      <c r="C16" s="108"/>
      <c r="D16" s="108"/>
      <c r="E16" s="18" t="s">
        <v>74</v>
      </c>
      <c r="F16" s="18" t="s">
        <v>25</v>
      </c>
      <c r="G16" s="17" t="s">
        <v>9</v>
      </c>
      <c r="H16" s="17" t="s">
        <v>66</v>
      </c>
      <c r="I16" s="17">
        <f>'MERCADO TUSD'!$U$13+0.00000001</f>
        <v>1E-8</v>
      </c>
      <c r="J16" s="15"/>
      <c r="L16" s="12">
        <f>'TR TUSD'!$L$16*'TR TUSD'!$L$60</f>
        <v>0</v>
      </c>
      <c r="M16" s="12">
        <f>'TR TUSD'!$M$16*'TR TUSD'!$M$60</f>
        <v>6.7428564965183622E-3</v>
      </c>
      <c r="N16" s="12">
        <f ca="1">'TR TUSD'!$N$16*'TR TUSD'!$N$60</f>
        <v>0</v>
      </c>
      <c r="O16" s="12">
        <f>'TR TUSD'!$O$16*'TR TUSD'!$O$60</f>
        <v>0</v>
      </c>
      <c r="P16" s="12">
        <f>'TR TUSD'!$P$16*'TR TUSD'!$P$60</f>
        <v>0</v>
      </c>
      <c r="Q16" s="12">
        <f>'TR TUSD'!$Q$16*'TR TUSD'!$Q$60</f>
        <v>0</v>
      </c>
      <c r="R16" s="12">
        <f>'TR TUSD'!$R$16*'TR TUSD'!$R$60</f>
        <v>0</v>
      </c>
      <c r="S16" s="12">
        <f>'TR TUSD'!$S$16*'TR TUSD'!$S$60</f>
        <v>0</v>
      </c>
      <c r="T16" s="12">
        <f ca="1">SUM($L$16:$S$16)</f>
        <v>6.7428564965183622E-3</v>
      </c>
      <c r="U16" s="12">
        <f>'TR TUSD'!$U$16*'TR TUSD'!$U$60</f>
        <v>0</v>
      </c>
      <c r="V16" s="12">
        <f>'TR TUSD'!$V$16*'TR TUSD'!$V$60</f>
        <v>0</v>
      </c>
      <c r="W16" s="12">
        <f>'TR TUSD'!$W$16*'TR TUSD'!$W$60</f>
        <v>0</v>
      </c>
      <c r="X16" s="12">
        <f>'TR TUSD'!$X$16*'TR TUSD'!$X$60</f>
        <v>0</v>
      </c>
      <c r="Y16" s="12">
        <f>'TR TUSD'!$Y$16*'TR TUSD'!$Y$60</f>
        <v>0</v>
      </c>
      <c r="Z16" s="12">
        <f>'TR TUSD'!$Z$16*'TR TUSD'!$Z$60</f>
        <v>0</v>
      </c>
      <c r="AA16" s="12">
        <f>'TR TUSD'!$AA$16*'TR TUSD'!$AA$60</f>
        <v>0</v>
      </c>
      <c r="AB16" s="12">
        <f>SUM($U$16:$AA$16)</f>
        <v>0</v>
      </c>
      <c r="AC16" s="12">
        <f>'TR TUSD'!$AC$16*'TR TUSD'!$AC$60</f>
        <v>7.7840053697699316</v>
      </c>
      <c r="AD16" s="12">
        <f>SUM($AC$16:$AC$16)</f>
        <v>7.7840053697699316</v>
      </c>
      <c r="AE16" s="12">
        <v>0</v>
      </c>
      <c r="AF16" s="12">
        <v>0</v>
      </c>
      <c r="AG16" s="12">
        <f>SUM($AE$16:$AF$16)</f>
        <v>0</v>
      </c>
      <c r="AH16" s="12">
        <f>'TR TUSD'!$AH$16*'TR TUSD'!$AH$60</f>
        <v>0</v>
      </c>
      <c r="AI16" s="12">
        <f>'TR TUSD'!$AI$16*'TR TUSD'!$AI$60</f>
        <v>0</v>
      </c>
      <c r="AJ16" s="12">
        <f ca="1">'TR TUSD'!$AJ$16*'TR TUSD'!$AJ$60</f>
        <v>0</v>
      </c>
      <c r="AK16" s="12">
        <f ca="1">'TR TUSD'!$AK$16*'TR TUSD'!$AK$60</f>
        <v>0</v>
      </c>
      <c r="AL16" s="12">
        <f ca="1">SUM($AH$16:$AK$16)</f>
        <v>0</v>
      </c>
      <c r="AM16" s="12">
        <f ca="1">SUMIF($L$4:$AL$4,"SUBTOTAL",$L$16:$AL$16)</f>
        <v>7.7907482262664498</v>
      </c>
      <c r="AP16" s="12"/>
    </row>
    <row r="17" spans="1:42" ht="11.25" customHeight="1" x14ac:dyDescent="0.25">
      <c r="A17" s="108" t="s">
        <v>22</v>
      </c>
      <c r="B17" s="108" t="s">
        <v>77</v>
      </c>
      <c r="C17" s="108" t="s">
        <v>24</v>
      </c>
      <c r="D17" s="108" t="s">
        <v>24</v>
      </c>
      <c r="E17" s="108" t="s">
        <v>25</v>
      </c>
      <c r="F17" s="108" t="s">
        <v>25</v>
      </c>
      <c r="G17" s="17" t="s">
        <v>64</v>
      </c>
      <c r="H17" s="17" t="s">
        <v>63</v>
      </c>
      <c r="I17" s="17">
        <f>'MERCADO TUSD'!$U$14</f>
        <v>0</v>
      </c>
      <c r="J17" s="15"/>
      <c r="L17" s="12">
        <f>'TR TUSD'!$L$17*'TR TUSD'!$L$60</f>
        <v>0</v>
      </c>
      <c r="M17" s="12">
        <f>'TR TUSD'!$M$17*'TR TUSD'!$M$60</f>
        <v>0.59981511519652564</v>
      </c>
      <c r="N17" s="12">
        <f ca="1">'TR TUSD'!$N$17*'TR TUSD'!$N$60</f>
        <v>0</v>
      </c>
      <c r="O17" s="12">
        <f>'TR TUSD'!$O$17*'TR TUSD'!$O$60</f>
        <v>0</v>
      </c>
      <c r="P17" s="12">
        <f>'TR TUSD'!$P$17*'TR TUSD'!$P$60</f>
        <v>0</v>
      </c>
      <c r="Q17" s="12">
        <f>'TR TUSD'!$Q$17*'TR TUSD'!$Q$60</f>
        <v>89.761417443877093</v>
      </c>
      <c r="R17" s="12">
        <f>'TR TUSD'!$R$17*'TR TUSD'!$R$60</f>
        <v>14.184778271875496</v>
      </c>
      <c r="S17" s="12">
        <f>'TR TUSD'!$S$17*'TR TUSD'!$S$60</f>
        <v>0</v>
      </c>
      <c r="T17" s="12">
        <f ca="1">SUM($L$17:$S$17)</f>
        <v>104.54601083094911</v>
      </c>
      <c r="U17" s="12">
        <f>'TR TUSD'!$U$17*'TR TUSD'!$U$60</f>
        <v>0</v>
      </c>
      <c r="V17" s="12">
        <f>'TR TUSD'!$V$17*'TR TUSD'!$V$60</f>
        <v>0</v>
      </c>
      <c r="W17" s="12">
        <f>'TR TUSD'!$W$17*'TR TUSD'!$W$60</f>
        <v>0</v>
      </c>
      <c r="X17" s="12">
        <f>'TR TUSD'!$X$17*'TR TUSD'!$X$60</f>
        <v>0</v>
      </c>
      <c r="Y17" s="12">
        <f>'TR TUSD'!$Y$17*'TR TUSD'!$Y$60</f>
        <v>99.367016558144968</v>
      </c>
      <c r="Z17" s="12">
        <f>'TR TUSD'!$Z$17</f>
        <v>0</v>
      </c>
      <c r="AA17" s="12">
        <f>'TR TUSD'!$AA$17</f>
        <v>0</v>
      </c>
      <c r="AB17" s="12">
        <f>SUM($U$17:$AA$17)</f>
        <v>99.367016558144968</v>
      </c>
      <c r="AC17" s="12">
        <f>'TR TUSD'!$AC$17*'TR TUSD'!$AC$60</f>
        <v>355.8378274642622</v>
      </c>
      <c r="AD17" s="12">
        <f>SUM($AC$17:$AC$17)</f>
        <v>355.8378274642622</v>
      </c>
      <c r="AE17" s="12">
        <v>0</v>
      </c>
      <c r="AF17" s="12">
        <v>0</v>
      </c>
      <c r="AG17" s="12">
        <f>SUM($AE$17:$AF$17)</f>
        <v>0</v>
      </c>
      <c r="AH17" s="12">
        <f>'TR TUSD'!$AH$17*'TR TUSD'!$AH$60</f>
        <v>13.503490435755994</v>
      </c>
      <c r="AI17" s="12">
        <f>'TR TUSD'!$AI$17*'TR TUSD'!$AI$60</f>
        <v>0</v>
      </c>
      <c r="AJ17" s="12">
        <f ca="1">'TR TUSD'!$AJ$17*'TR TUSD'!$AJ$60</f>
        <v>0</v>
      </c>
      <c r="AK17" s="12">
        <f ca="1">'TR TUSD'!$AK$17*'TR TUSD'!$AK$60</f>
        <v>0</v>
      </c>
      <c r="AL17" s="12">
        <f ca="1">SUM($AH$17:$AK$17)</f>
        <v>13.503490435755994</v>
      </c>
      <c r="AM17" s="12">
        <f ca="1">SUMIF($L$4:$AL$4,"SUBTOTAL",$L$17:$AL$17)</f>
        <v>573.25434528911228</v>
      </c>
      <c r="AP17" s="12">
        <v>1</v>
      </c>
    </row>
    <row r="18" spans="1:42" ht="11.25" customHeight="1" x14ac:dyDescent="0.25">
      <c r="A18" s="108"/>
      <c r="B18" s="108"/>
      <c r="C18" s="108"/>
      <c r="D18" s="108"/>
      <c r="E18" s="108"/>
      <c r="F18" s="108"/>
      <c r="G18" s="17" t="s">
        <v>75</v>
      </c>
      <c r="H18" s="17" t="s">
        <v>63</v>
      </c>
      <c r="I18" s="17">
        <f>'MERCADO TUSD'!$U$15</f>
        <v>0</v>
      </c>
      <c r="J18" s="15"/>
      <c r="L18" s="12">
        <f>'TR TUSD'!$L$18*'TR TUSD'!$L$60</f>
        <v>0</v>
      </c>
      <c r="M18" s="12">
        <f>'TR TUSD'!$M$18*'TR TUSD'!$M$60</f>
        <v>0.59981511519652564</v>
      </c>
      <c r="N18" s="12">
        <f ca="1">'TR TUSD'!$N$18*'TR TUSD'!$N$60</f>
        <v>0</v>
      </c>
      <c r="O18" s="12">
        <f>'TR TUSD'!$O$18*'TR TUSD'!$O$60</f>
        <v>0</v>
      </c>
      <c r="P18" s="12">
        <f>'TR TUSD'!$P$18*'TR TUSD'!$P$60</f>
        <v>0</v>
      </c>
      <c r="Q18" s="12">
        <f>'TR TUSD'!$Q$18*'TR TUSD'!$Q$60</f>
        <v>89.761417443877093</v>
      </c>
      <c r="R18" s="12">
        <f>'TR TUSD'!$R$18*'TR TUSD'!$R$60</f>
        <v>14.184778271875496</v>
      </c>
      <c r="S18" s="12">
        <f>'TR TUSD'!$S$18*'TR TUSD'!$S$60</f>
        <v>0</v>
      </c>
      <c r="T18" s="12">
        <f ca="1">SUM($L$18:$S$18)</f>
        <v>104.54601083094911</v>
      </c>
      <c r="U18" s="12">
        <f>'TR TUSD'!$U$18*'TR TUSD'!$U$60</f>
        <v>0</v>
      </c>
      <c r="V18" s="12">
        <f>'TR TUSD'!$V$18*'TR TUSD'!$V$60</f>
        <v>0</v>
      </c>
      <c r="W18" s="12">
        <f>'TR TUSD'!$W$18*'TR TUSD'!$W$60</f>
        <v>0</v>
      </c>
      <c r="X18" s="12">
        <f>'TR TUSD'!$X$18*'TR TUSD'!$X$60</f>
        <v>0</v>
      </c>
      <c r="Y18" s="12">
        <f>'TR TUSD'!$Y$18*'TR TUSD'!$Y$60</f>
        <v>59.632705001414259</v>
      </c>
      <c r="Z18" s="12">
        <f>'TR TUSD'!$Z$18</f>
        <v>0</v>
      </c>
      <c r="AA18" s="12">
        <f>'TR TUSD'!$AA$18</f>
        <v>0</v>
      </c>
      <c r="AB18" s="12">
        <f>SUM($U$18:$AA$18)</f>
        <v>59.632705001414259</v>
      </c>
      <c r="AC18" s="12">
        <f>'TR TUSD'!$AC$18*'TR TUSD'!$AC$60</f>
        <v>213.50271886425736</v>
      </c>
      <c r="AD18" s="12">
        <f>SUM($AC$18:$AC$18)</f>
        <v>213.50271886425736</v>
      </c>
      <c r="AE18" s="12">
        <v>0</v>
      </c>
      <c r="AF18" s="12">
        <v>0</v>
      </c>
      <c r="AG18" s="12">
        <f>SUM($AE$18:$AF$18)</f>
        <v>0</v>
      </c>
      <c r="AH18" s="12">
        <f>'TR TUSD'!$AH$18*'TR TUSD'!$AH$60</f>
        <v>13.503490435755994</v>
      </c>
      <c r="AI18" s="12">
        <f>'TR TUSD'!$AI$18*'TR TUSD'!$AI$60</f>
        <v>0</v>
      </c>
      <c r="AJ18" s="12">
        <f ca="1">'TR TUSD'!$AJ$18*'TR TUSD'!$AJ$60</f>
        <v>0</v>
      </c>
      <c r="AK18" s="12">
        <f ca="1">'TR TUSD'!$AK$18*'TR TUSD'!$AK$60</f>
        <v>0</v>
      </c>
      <c r="AL18" s="12">
        <f ca="1">SUM($AH$18:$AK$18)</f>
        <v>13.503490435755994</v>
      </c>
      <c r="AM18" s="12">
        <f ca="1">SUMIF($L$4:$AL$4,"SUBTOTAL",$L$18:$AL$18)</f>
        <v>391.18492513237675</v>
      </c>
      <c r="AP18" s="12">
        <v>1</v>
      </c>
    </row>
    <row r="19" spans="1:42" ht="11.25" customHeight="1" x14ac:dyDescent="0.25">
      <c r="A19" s="108"/>
      <c r="B19" s="108"/>
      <c r="C19" s="108"/>
      <c r="D19" s="108"/>
      <c r="E19" s="108"/>
      <c r="F19" s="108"/>
      <c r="G19" s="17" t="s">
        <v>65</v>
      </c>
      <c r="H19" s="17" t="s">
        <v>63</v>
      </c>
      <c r="I19" s="17">
        <f>'MERCADO TUSD'!$U$16</f>
        <v>0</v>
      </c>
      <c r="J19" s="15"/>
      <c r="L19" s="12">
        <f>'TR TUSD'!$L$19*'TR TUSD'!$L$60</f>
        <v>0</v>
      </c>
      <c r="M19" s="12">
        <f>'TR TUSD'!$M$19*'TR TUSD'!$M$60</f>
        <v>0.59981511519652564</v>
      </c>
      <c r="N19" s="12">
        <f ca="1">'TR TUSD'!$N$19*'TR TUSD'!$N$60</f>
        <v>0</v>
      </c>
      <c r="O19" s="12">
        <f>'TR TUSD'!$O$19*'TR TUSD'!$O$60</f>
        <v>0</v>
      </c>
      <c r="P19" s="12">
        <f>'TR TUSD'!$P$19*'TR TUSD'!$P$60</f>
        <v>0</v>
      </c>
      <c r="Q19" s="12">
        <f>'TR TUSD'!$Q$19*'TR TUSD'!$Q$60</f>
        <v>89.761417443877093</v>
      </c>
      <c r="R19" s="12">
        <f>'TR TUSD'!$R$19*'TR TUSD'!$R$60</f>
        <v>14.184778271875496</v>
      </c>
      <c r="S19" s="12">
        <f>'TR TUSD'!$S$19*'TR TUSD'!$S$60</f>
        <v>0</v>
      </c>
      <c r="T19" s="12">
        <f ca="1">SUM($L$19:$S$19)</f>
        <v>104.54601083094911</v>
      </c>
      <c r="U19" s="12">
        <f>'TR TUSD'!$U$19*'TR TUSD'!$U$60</f>
        <v>0</v>
      </c>
      <c r="V19" s="12">
        <f>'TR TUSD'!$V$19*'TR TUSD'!$V$60</f>
        <v>0</v>
      </c>
      <c r="W19" s="12">
        <f>'TR TUSD'!$W$19*'TR TUSD'!$W$60</f>
        <v>0</v>
      </c>
      <c r="X19" s="12">
        <f>'TR TUSD'!$X$19*'TR TUSD'!$X$60</f>
        <v>0</v>
      </c>
      <c r="Y19" s="12">
        <f>'TR TUSD'!$Y$19*'TR TUSD'!$Y$60</f>
        <v>19.88277461152445</v>
      </c>
      <c r="Z19" s="12">
        <f>'TR TUSD'!$Z$19</f>
        <v>0</v>
      </c>
      <c r="AA19" s="12">
        <f>'TR TUSD'!$AA$19</f>
        <v>0</v>
      </c>
      <c r="AB19" s="12">
        <f>SUM($U$19:$AA$19)</f>
        <v>19.88277461152445</v>
      </c>
      <c r="AC19" s="12">
        <f>'TR TUSD'!$AC$19*'TR TUSD'!$AC$60</f>
        <v>71.167498335752256</v>
      </c>
      <c r="AD19" s="12">
        <f>SUM($AC$19:$AC$19)</f>
        <v>71.167498335752256</v>
      </c>
      <c r="AE19" s="12">
        <v>0</v>
      </c>
      <c r="AF19" s="12">
        <v>0</v>
      </c>
      <c r="AG19" s="12">
        <f>SUM($AE$19:$AF$19)</f>
        <v>0</v>
      </c>
      <c r="AH19" s="12">
        <f>'TR TUSD'!$AH$19*'TR TUSD'!$AH$60</f>
        <v>13.503490435755994</v>
      </c>
      <c r="AI19" s="12">
        <f>'TR TUSD'!$AI$19*'TR TUSD'!$AI$60</f>
        <v>0</v>
      </c>
      <c r="AJ19" s="12">
        <f ca="1">'TR TUSD'!$AJ$19*'TR TUSD'!$AJ$60</f>
        <v>0</v>
      </c>
      <c r="AK19" s="12">
        <f ca="1">'TR TUSD'!$AK$19*'TR TUSD'!$AK$60</f>
        <v>0</v>
      </c>
      <c r="AL19" s="12">
        <f ca="1">SUM($AH$19:$AK$19)</f>
        <v>13.503490435755994</v>
      </c>
      <c r="AM19" s="12">
        <f ca="1">SUMIF($L$4:$AL$4,"SUBTOTAL",$L$19:$AL$19)</f>
        <v>209.09977421398182</v>
      </c>
      <c r="AP19" s="12">
        <v>1</v>
      </c>
    </row>
    <row r="20" spans="1:42" ht="11.25" customHeight="1" x14ac:dyDescent="0.25">
      <c r="A20" s="108"/>
      <c r="B20" s="108" t="s">
        <v>23</v>
      </c>
      <c r="C20" s="108" t="s">
        <v>24</v>
      </c>
      <c r="D20" s="18" t="s">
        <v>24</v>
      </c>
      <c r="E20" s="18" t="s">
        <v>25</v>
      </c>
      <c r="F20" s="18" t="s">
        <v>25</v>
      </c>
      <c r="G20" s="17" t="s">
        <v>69</v>
      </c>
      <c r="H20" s="17" t="s">
        <v>63</v>
      </c>
      <c r="I20" s="17">
        <f>'MERCADO TUSD'!$U$17</f>
        <v>2968.7139999999999</v>
      </c>
      <c r="J20" s="15"/>
      <c r="L20" s="12">
        <f>'TR TUSD'!$L$20*'TR TUSD'!$L$60</f>
        <v>0</v>
      </c>
      <c r="M20" s="12">
        <f>'TR TUSD'!$M$20*'TR TUSD'!$M$60</f>
        <v>0.59981511519652564</v>
      </c>
      <c r="N20" s="12">
        <f ca="1">'TR TUSD'!$N$20*'TR TUSD'!$N$60</f>
        <v>0</v>
      </c>
      <c r="O20" s="12">
        <f>'TR TUSD'!$O$20*'TR TUSD'!$O$60</f>
        <v>0</v>
      </c>
      <c r="P20" s="12">
        <f>'TR TUSD'!$P$20*'TR TUSD'!$P$60</f>
        <v>0</v>
      </c>
      <c r="Q20" s="12">
        <f>'TR TUSD'!$Q$20*'TR TUSD'!$Q$60</f>
        <v>89.761417443877093</v>
      </c>
      <c r="R20" s="12">
        <f>'TR TUSD'!$R$20*'TR TUSD'!$R$60</f>
        <v>14.184778271875496</v>
      </c>
      <c r="S20" s="12">
        <f>'TR TUSD'!$S$20*'TR TUSD'!$S$60</f>
        <v>0</v>
      </c>
      <c r="T20" s="12">
        <f ca="1">SUM($L$20:$S$20)</f>
        <v>104.54601083094911</v>
      </c>
      <c r="U20" s="12">
        <f>'TR TUSD'!$U$20*'TR TUSD'!$U$60</f>
        <v>0</v>
      </c>
      <c r="V20" s="12">
        <f>'TR TUSD'!$V$20*'TR TUSD'!$V$60</f>
        <v>0</v>
      </c>
      <c r="W20" s="12">
        <f>'TR TUSD'!$W$20*'TR TUSD'!$W$60</f>
        <v>0</v>
      </c>
      <c r="X20" s="12">
        <f>'TR TUSD'!$X$20*'TR TUSD'!$X$60</f>
        <v>0</v>
      </c>
      <c r="Y20" s="12">
        <f>'TR TUSD'!$Y$20*'TR TUSD'!$Y$60</f>
        <v>36.813589755980459</v>
      </c>
      <c r="Z20" s="12">
        <f>'TR TUSD'!$Z$20</f>
        <v>0</v>
      </c>
      <c r="AA20" s="12">
        <f>'TR TUSD'!$AA$20</f>
        <v>0</v>
      </c>
      <c r="AB20" s="12">
        <f>SUM($U$20:$AA$20)</f>
        <v>36.813589755980459</v>
      </c>
      <c r="AC20" s="12">
        <f>'TR TUSD'!$AC$20*'TR TUSD'!$AC$60</f>
        <v>131.79177965872671</v>
      </c>
      <c r="AD20" s="12">
        <f>SUM($AC$20:$AC$20)</f>
        <v>131.79177965872671</v>
      </c>
      <c r="AE20" s="12">
        <v>0</v>
      </c>
      <c r="AF20" s="12">
        <v>0</v>
      </c>
      <c r="AG20" s="12">
        <f>SUM($AE$20:$AF$20)</f>
        <v>0</v>
      </c>
      <c r="AH20" s="12">
        <f>'TR TUSD'!$AH$20*'TR TUSD'!$AH$60</f>
        <v>13.503490435755994</v>
      </c>
      <c r="AI20" s="12">
        <f>'TR TUSD'!$AI$20*'TR TUSD'!$AI$60</f>
        <v>0</v>
      </c>
      <c r="AJ20" s="12">
        <f ca="1">'TR TUSD'!$AJ$20*'TR TUSD'!$AJ$60</f>
        <v>0</v>
      </c>
      <c r="AK20" s="12">
        <f ca="1">'TR TUSD'!$AK$20*'TR TUSD'!$AK$60</f>
        <v>0</v>
      </c>
      <c r="AL20" s="12">
        <f ca="1">SUM($AH$20:$AK$20)</f>
        <v>13.503490435755994</v>
      </c>
      <c r="AM20" s="12">
        <f ca="1">SUMIF($L$4:$AL$4,"SUBTOTAL",$L$20:$AL$20)</f>
        <v>286.65487068141226</v>
      </c>
      <c r="AP20" s="12">
        <v>1</v>
      </c>
    </row>
    <row r="21" spans="1:42" ht="11.25" customHeight="1" x14ac:dyDescent="0.25">
      <c r="A21" s="108"/>
      <c r="B21" s="108"/>
      <c r="C21" s="108"/>
      <c r="D21" s="18" t="s">
        <v>27</v>
      </c>
      <c r="E21" s="18" t="s">
        <v>25</v>
      </c>
      <c r="F21" s="18" t="s">
        <v>25</v>
      </c>
      <c r="G21" s="17" t="s">
        <v>69</v>
      </c>
      <c r="H21" s="17" t="s">
        <v>63</v>
      </c>
      <c r="I21" s="17">
        <f>'MERCADO TUSD'!$U$18</f>
        <v>3.0050000000000003</v>
      </c>
      <c r="J21" s="15"/>
      <c r="L21" s="12">
        <f>'TR TUSD'!$L$21*'TR TUSD'!$L$60</f>
        <v>0</v>
      </c>
      <c r="M21" s="12">
        <f>'TR TUSD'!$M$21*'TR TUSD'!$M$60</f>
        <v>0.59981511519652564</v>
      </c>
      <c r="N21" s="12">
        <f ca="1">'TR TUSD'!$N$21*'TR TUSD'!$N$60</f>
        <v>0</v>
      </c>
      <c r="O21" s="12">
        <f>'TR TUSD'!$O$21*'TR TUSD'!$O$60</f>
        <v>0</v>
      </c>
      <c r="P21" s="12">
        <f>'TR TUSD'!$P$21*'TR TUSD'!$P$60</f>
        <v>0</v>
      </c>
      <c r="Q21" s="12">
        <f>'TR TUSD'!$Q$21*'TR TUSD'!$Q$60</f>
        <v>0</v>
      </c>
      <c r="R21" s="12">
        <f>'TR TUSD'!$R$21*'TR TUSD'!$R$60</f>
        <v>0</v>
      </c>
      <c r="S21" s="12">
        <f>'TR TUSD'!$S$21*'TR TUSD'!$S$60</f>
        <v>0</v>
      </c>
      <c r="T21" s="12">
        <f ca="1">SUM($L$21:$S$21)</f>
        <v>0.59981511519652564</v>
      </c>
      <c r="U21" s="12">
        <f>'TR TUSD'!$U$21*'TR TUSD'!$U$60</f>
        <v>0</v>
      </c>
      <c r="V21" s="12">
        <f>'TR TUSD'!$V$21*'TR TUSD'!$V$60</f>
        <v>0</v>
      </c>
      <c r="W21" s="12">
        <f>'TR TUSD'!$W$21*'TR TUSD'!$W$60</f>
        <v>0</v>
      </c>
      <c r="X21" s="12">
        <f>'TR TUSD'!$X$21*'TR TUSD'!$X$60</f>
        <v>0</v>
      </c>
      <c r="Y21" s="12">
        <f>'TR TUSD'!$Y$21*'TR TUSD'!$Y$60</f>
        <v>36.813589755980459</v>
      </c>
      <c r="Z21" s="12">
        <f>'TR TUSD'!$Z$21</f>
        <v>0</v>
      </c>
      <c r="AA21" s="12">
        <f>'TR TUSD'!$AA$21</f>
        <v>0</v>
      </c>
      <c r="AB21" s="12">
        <f>SUM($U$21:$AA$21)</f>
        <v>36.813589755980459</v>
      </c>
      <c r="AC21" s="12">
        <f>'TR TUSD'!$AC$21*'TR TUSD'!$AC$60</f>
        <v>131.79177965872671</v>
      </c>
      <c r="AD21" s="12">
        <f>SUM($AC$21:$AC$21)</f>
        <v>131.79177965872671</v>
      </c>
      <c r="AE21" s="12">
        <v>0</v>
      </c>
      <c r="AF21" s="12">
        <v>0</v>
      </c>
      <c r="AG21" s="12">
        <f>SUM($AE$21:$AF$21)</f>
        <v>0</v>
      </c>
      <c r="AH21" s="12">
        <f>'TR TUSD'!$AH$21*'TR TUSD'!$AH$60</f>
        <v>13.503490435755994</v>
      </c>
      <c r="AI21" s="12">
        <f>'TR TUSD'!$AI$21*'TR TUSD'!$AI$60</f>
        <v>0</v>
      </c>
      <c r="AJ21" s="12">
        <f ca="1">'TR TUSD'!$AJ$21*'TR TUSD'!$AJ$60</f>
        <v>0</v>
      </c>
      <c r="AK21" s="12">
        <f ca="1">'TR TUSD'!$AK$21*'TR TUSD'!$AK$60</f>
        <v>0</v>
      </c>
      <c r="AL21" s="12">
        <f ca="1">SUM($AH$21:$AK$21)</f>
        <v>13.503490435755994</v>
      </c>
      <c r="AM21" s="12">
        <f ca="1">SUMIF($L$4:$AL$4,"SUBTOTAL",$L$21:$AL$21)</f>
        <v>182.7086749656597</v>
      </c>
      <c r="AP21" s="12">
        <f>IF((1 - CUSTOS!$M$24)&lt;&gt;0,1/(1 - CUSTOS!$M$24),1)</f>
        <v>1</v>
      </c>
    </row>
    <row r="22" spans="1:42" ht="11.25" customHeight="1" x14ac:dyDescent="0.25">
      <c r="A22" s="108"/>
      <c r="B22" s="108"/>
      <c r="C22" s="108"/>
      <c r="D22" s="18" t="s">
        <v>28</v>
      </c>
      <c r="E22" s="18" t="s">
        <v>25</v>
      </c>
      <c r="F22" s="18" t="s">
        <v>25</v>
      </c>
      <c r="G22" s="17" t="s">
        <v>69</v>
      </c>
      <c r="H22" s="17" t="s">
        <v>63</v>
      </c>
      <c r="I22" s="17">
        <f>'MERCADO TUSD'!$U$19</f>
        <v>4.8120000000000003</v>
      </c>
      <c r="J22" s="15"/>
      <c r="L22" s="12">
        <f>'TR TUSD'!$L$22*'TR TUSD'!$L$60</f>
        <v>0</v>
      </c>
      <c r="M22" s="12">
        <f>'TR TUSD'!$M$22*'TR TUSD'!$M$60</f>
        <v>0.59981511519652564</v>
      </c>
      <c r="N22" s="12">
        <f ca="1">'TR TUSD'!$N$22*'TR TUSD'!$N$60</f>
        <v>0</v>
      </c>
      <c r="O22" s="12">
        <f>'TR TUSD'!$O$22*'TR TUSD'!$O$60</f>
        <v>0</v>
      </c>
      <c r="P22" s="12">
        <f>'TR TUSD'!$P$22*'TR TUSD'!$P$60</f>
        <v>0</v>
      </c>
      <c r="Q22" s="12">
        <f>'TR TUSD'!$Q$22*'TR TUSD'!$Q$60</f>
        <v>0</v>
      </c>
      <c r="R22" s="12">
        <f>'TR TUSD'!$R$22*'TR TUSD'!$R$60</f>
        <v>0</v>
      </c>
      <c r="S22" s="12">
        <f>'TR TUSD'!$S$22*'TR TUSD'!$S$60</f>
        <v>0</v>
      </c>
      <c r="T22" s="12">
        <f ca="1">SUM($L$22:$S$22)</f>
        <v>0.59981511519652564</v>
      </c>
      <c r="U22" s="12">
        <f>'TR TUSD'!$U$22*'TR TUSD'!$U$60</f>
        <v>0</v>
      </c>
      <c r="V22" s="12">
        <f>'TR TUSD'!$V$22*'TR TUSD'!$V$60</f>
        <v>0</v>
      </c>
      <c r="W22" s="12">
        <f>'TR TUSD'!$W$22*'TR TUSD'!$W$60</f>
        <v>0</v>
      </c>
      <c r="X22" s="12">
        <f>'TR TUSD'!$X$22*'TR TUSD'!$X$60</f>
        <v>0</v>
      </c>
      <c r="Y22" s="12">
        <f>'TR TUSD'!$Y$22*'TR TUSD'!$Y$60</f>
        <v>36.813589755980459</v>
      </c>
      <c r="Z22" s="12">
        <f>'TR TUSD'!$Z$22</f>
        <v>0</v>
      </c>
      <c r="AA22" s="12">
        <f>'TR TUSD'!$AA$22</f>
        <v>0</v>
      </c>
      <c r="AB22" s="12">
        <f>SUM($U$22:$AA$22)</f>
        <v>36.813589755980459</v>
      </c>
      <c r="AC22" s="12">
        <f>'TR TUSD'!$AC$22*'TR TUSD'!$AC$60</f>
        <v>131.79177965872671</v>
      </c>
      <c r="AD22" s="12">
        <f>SUM($AC$22:$AC$22)</f>
        <v>131.79177965872671</v>
      </c>
      <c r="AE22" s="12">
        <v>0</v>
      </c>
      <c r="AF22" s="12">
        <v>0</v>
      </c>
      <c r="AG22" s="12">
        <f>SUM($AE$22:$AF$22)</f>
        <v>0</v>
      </c>
      <c r="AH22" s="12">
        <f>'TR TUSD'!$AH$22*'TR TUSD'!$AH$60</f>
        <v>13.503490435755994</v>
      </c>
      <c r="AI22" s="12">
        <f>'TR TUSD'!$AI$22*'TR TUSD'!$AI$60</f>
        <v>0</v>
      </c>
      <c r="AJ22" s="12">
        <f ca="1">'TR TUSD'!$AJ$22*'TR TUSD'!$AJ$60</f>
        <v>0</v>
      </c>
      <c r="AK22" s="12">
        <f ca="1">'TR TUSD'!$AK$22*'TR TUSD'!$AK$60</f>
        <v>0</v>
      </c>
      <c r="AL22" s="12">
        <f ca="1">SUM($AH$22:$AK$22)</f>
        <v>13.503490435755994</v>
      </c>
      <c r="AM22" s="12">
        <f ca="1">SUMIF($L$4:$AL$4,"SUBTOTAL",$L$22:$AL$22)</f>
        <v>182.7086749656597</v>
      </c>
      <c r="AP22" s="12">
        <f>IF((1 - CUSTOS!$M$25)&lt;&gt;0,1/(1 - CUSTOS!$M$25),1)</f>
        <v>1</v>
      </c>
    </row>
    <row r="23" spans="1:42" ht="11.25" customHeight="1" x14ac:dyDescent="0.25">
      <c r="A23" s="108"/>
      <c r="B23" s="108"/>
      <c r="C23" s="108"/>
      <c r="D23" s="18" t="s">
        <v>29</v>
      </c>
      <c r="E23" s="18" t="s">
        <v>25</v>
      </c>
      <c r="F23" s="18" t="s">
        <v>25</v>
      </c>
      <c r="G23" s="17" t="s">
        <v>69</v>
      </c>
      <c r="H23" s="17" t="s">
        <v>63</v>
      </c>
      <c r="I23" s="17">
        <f>'MERCADO TUSD'!$U$20</f>
        <v>0.12</v>
      </c>
      <c r="J23" s="15"/>
      <c r="L23" s="12">
        <f>'TR TUSD'!$L$23*'TR TUSD'!$L$60</f>
        <v>0</v>
      </c>
      <c r="M23" s="12">
        <f>'TR TUSD'!$M$23*'TR TUSD'!$M$60</f>
        <v>0.59981511519652564</v>
      </c>
      <c r="N23" s="12">
        <f ca="1">'TR TUSD'!$N$23*'TR TUSD'!$N$60</f>
        <v>0</v>
      </c>
      <c r="O23" s="12">
        <f>'TR TUSD'!$O$23*'TR TUSD'!$O$60</f>
        <v>0</v>
      </c>
      <c r="P23" s="12">
        <f>'TR TUSD'!$P$23*'TR TUSD'!$P$60</f>
        <v>0</v>
      </c>
      <c r="Q23" s="12">
        <f>'TR TUSD'!$Q$23*'TR TUSD'!$Q$60</f>
        <v>0</v>
      </c>
      <c r="R23" s="12">
        <f>'TR TUSD'!$R$23*'TR TUSD'!$R$60</f>
        <v>0</v>
      </c>
      <c r="S23" s="12">
        <f>'TR TUSD'!$S$23*'TR TUSD'!$S$60</f>
        <v>0</v>
      </c>
      <c r="T23" s="12">
        <f ca="1">SUM($L$23:$S$23)</f>
        <v>0.59981511519652564</v>
      </c>
      <c r="U23" s="12">
        <f>'TR TUSD'!$U$23*'TR TUSD'!$U$60</f>
        <v>0</v>
      </c>
      <c r="V23" s="12">
        <f>'TR TUSD'!$V$23*'TR TUSD'!$V$60</f>
        <v>0</v>
      </c>
      <c r="W23" s="12">
        <f>'TR TUSD'!$W$23*'TR TUSD'!$W$60</f>
        <v>0</v>
      </c>
      <c r="X23" s="12">
        <f>'TR TUSD'!$X$23*'TR TUSD'!$X$60</f>
        <v>0</v>
      </c>
      <c r="Y23" s="12">
        <f>'TR TUSD'!$Y$23*'TR TUSD'!$Y$60</f>
        <v>36.813589755980459</v>
      </c>
      <c r="Z23" s="12">
        <f>'TR TUSD'!$Z$23</f>
        <v>0</v>
      </c>
      <c r="AA23" s="12">
        <f>'TR TUSD'!$AA$23</f>
        <v>0</v>
      </c>
      <c r="AB23" s="12">
        <f>SUM($U$23:$AA$23)</f>
        <v>36.813589755980459</v>
      </c>
      <c r="AC23" s="12">
        <f>'TR TUSD'!$AC$23*'TR TUSD'!$AC$60</f>
        <v>131.79177965872671</v>
      </c>
      <c r="AD23" s="12">
        <f>SUM($AC$23:$AC$23)</f>
        <v>131.79177965872671</v>
      </c>
      <c r="AE23" s="12">
        <v>0</v>
      </c>
      <c r="AF23" s="12">
        <v>0</v>
      </c>
      <c r="AG23" s="12">
        <f>SUM($AE$23:$AF$23)</f>
        <v>0</v>
      </c>
      <c r="AH23" s="12">
        <f>'TR TUSD'!$AH$23*'TR TUSD'!$AH$60</f>
        <v>13.503490435755994</v>
      </c>
      <c r="AI23" s="12">
        <f>'TR TUSD'!$AI$23*'TR TUSD'!$AI$60</f>
        <v>0</v>
      </c>
      <c r="AJ23" s="12">
        <f ca="1">'TR TUSD'!$AJ$23*'TR TUSD'!$AJ$60</f>
        <v>0</v>
      </c>
      <c r="AK23" s="12">
        <f ca="1">'TR TUSD'!$AK$23*'TR TUSD'!$AK$60</f>
        <v>0</v>
      </c>
      <c r="AL23" s="12">
        <f ca="1">SUM($AH$23:$AK$23)</f>
        <v>13.503490435755994</v>
      </c>
      <c r="AM23" s="12">
        <f ca="1">SUMIF($L$4:$AL$4,"SUBTOTAL",$L$23:$AL$23)</f>
        <v>182.7086749656597</v>
      </c>
      <c r="AP23" s="12">
        <f>IF((1 - CUSTOS!$M$26)&lt;&gt;0,1/(1 - CUSTOS!$M$26),1)</f>
        <v>1</v>
      </c>
    </row>
    <row r="24" spans="1:42" ht="11.25" customHeight="1" x14ac:dyDescent="0.25">
      <c r="A24" s="108"/>
      <c r="B24" s="108"/>
      <c r="C24" s="108"/>
      <c r="D24" s="18" t="s">
        <v>30</v>
      </c>
      <c r="E24" s="18" t="s">
        <v>25</v>
      </c>
      <c r="F24" s="18" t="s">
        <v>25</v>
      </c>
      <c r="G24" s="17" t="s">
        <v>69</v>
      </c>
      <c r="H24" s="17" t="s">
        <v>63</v>
      </c>
      <c r="I24" s="17">
        <f>'MERCADO TUSD'!$U$21</f>
        <v>0.31900000000000001</v>
      </c>
      <c r="J24" s="15"/>
      <c r="L24" s="12">
        <f>'TR TUSD'!$L$24*'TR TUSD'!$L$60</f>
        <v>0</v>
      </c>
      <c r="M24" s="12">
        <f>'TR TUSD'!$M$24*'TR TUSD'!$M$60</f>
        <v>0.59981511519652564</v>
      </c>
      <c r="N24" s="12">
        <f ca="1">'TR TUSD'!$N$24*'TR TUSD'!$N$60</f>
        <v>0</v>
      </c>
      <c r="O24" s="12">
        <f>'TR TUSD'!$O$24*'TR TUSD'!$O$60</f>
        <v>0</v>
      </c>
      <c r="P24" s="12">
        <f>'TR TUSD'!$P$24*'TR TUSD'!$P$60</f>
        <v>0</v>
      </c>
      <c r="Q24" s="12">
        <f>'TR TUSD'!$Q$24*'TR TUSD'!$Q$60</f>
        <v>0</v>
      </c>
      <c r="R24" s="12">
        <f>'TR TUSD'!$R$24*'TR TUSD'!$R$60</f>
        <v>0</v>
      </c>
      <c r="S24" s="12">
        <f>'TR TUSD'!$S$24*'TR TUSD'!$S$60</f>
        <v>0</v>
      </c>
      <c r="T24" s="12">
        <f ca="1">SUM($L$24:$S$24)</f>
        <v>0.59981511519652564</v>
      </c>
      <c r="U24" s="12">
        <f>'TR TUSD'!$U$24*'TR TUSD'!$U$60</f>
        <v>0</v>
      </c>
      <c r="V24" s="12">
        <f>'TR TUSD'!$V$24*'TR TUSD'!$V$60</f>
        <v>0</v>
      </c>
      <c r="W24" s="12">
        <f>'TR TUSD'!$W$24*'TR TUSD'!$W$60</f>
        <v>0</v>
      </c>
      <c r="X24" s="12">
        <f>'TR TUSD'!$X$24*'TR TUSD'!$X$60</f>
        <v>0</v>
      </c>
      <c r="Y24" s="12">
        <f>'TR TUSD'!$Y$24*'TR TUSD'!$Y$60</f>
        <v>36.813589755980459</v>
      </c>
      <c r="Z24" s="12">
        <f>'TR TUSD'!$Z$24</f>
        <v>0</v>
      </c>
      <c r="AA24" s="12">
        <f>'TR TUSD'!$AA$24</f>
        <v>0</v>
      </c>
      <c r="AB24" s="12">
        <f>SUM($U$24:$AA$24)</f>
        <v>36.813589755980459</v>
      </c>
      <c r="AC24" s="12">
        <f>'TR TUSD'!$AC$24*'TR TUSD'!$AC$60</f>
        <v>131.79177965872671</v>
      </c>
      <c r="AD24" s="12">
        <f>SUM($AC$24:$AC$24)</f>
        <v>131.79177965872671</v>
      </c>
      <c r="AE24" s="12">
        <v>0</v>
      </c>
      <c r="AF24" s="12">
        <v>0</v>
      </c>
      <c r="AG24" s="12">
        <f>SUM($AE$24:$AF$24)</f>
        <v>0</v>
      </c>
      <c r="AH24" s="12">
        <f>'TR TUSD'!$AH$24*'TR TUSD'!$AH$60</f>
        <v>13.503490435755994</v>
      </c>
      <c r="AI24" s="12">
        <f>'TR TUSD'!$AI$24*'TR TUSD'!$AI$60</f>
        <v>0</v>
      </c>
      <c r="AJ24" s="12">
        <f ca="1">'TR TUSD'!$AJ$24*'TR TUSD'!$AJ$60</f>
        <v>0</v>
      </c>
      <c r="AK24" s="12">
        <f ca="1">'TR TUSD'!$AK$24*'TR TUSD'!$AK$60</f>
        <v>0</v>
      </c>
      <c r="AL24" s="12">
        <f ca="1">SUM($AH$24:$AK$24)</f>
        <v>13.503490435755994</v>
      </c>
      <c r="AM24" s="12">
        <f ca="1">SUMIF($L$4:$AL$4,"SUBTOTAL",$L$24:$AL$24)</f>
        <v>182.7086749656597</v>
      </c>
      <c r="AP24" s="12">
        <f>IF((1 - CUSTOS!$M$27)&lt;&gt;0,1/(1 - CUSTOS!$M$27),1)</f>
        <v>1</v>
      </c>
    </row>
    <row r="25" spans="1:42" ht="11.25" customHeight="1" x14ac:dyDescent="0.25">
      <c r="A25" s="108"/>
      <c r="B25" s="108" t="s">
        <v>79</v>
      </c>
      <c r="C25" s="108" t="s">
        <v>24</v>
      </c>
      <c r="D25" s="18" t="s">
        <v>24</v>
      </c>
      <c r="E25" s="18" t="s">
        <v>25</v>
      </c>
      <c r="F25" s="18" t="s">
        <v>25</v>
      </c>
      <c r="G25" s="17" t="s">
        <v>69</v>
      </c>
      <c r="H25" s="17" t="s">
        <v>63</v>
      </c>
      <c r="I25" s="17">
        <f>'MERCADO TUSD'!$U$22</f>
        <v>0</v>
      </c>
      <c r="J25" s="15"/>
      <c r="L25" s="12">
        <f>'TR TUSD'!$L$25*'TR TUSD'!$L$60</f>
        <v>0</v>
      </c>
      <c r="M25" s="12">
        <f>'TR TUSD'!$M$25*'TR TUSD'!$M$60</f>
        <v>0.59981511519652564</v>
      </c>
      <c r="N25" s="12">
        <f ca="1">'TR TUSD'!$N$25*'TR TUSD'!$N$60</f>
        <v>0</v>
      </c>
      <c r="O25" s="12">
        <f>'TR TUSD'!$O$25*'TR TUSD'!$O$60</f>
        <v>0</v>
      </c>
      <c r="P25" s="12">
        <f>'TR TUSD'!$P$25*'TR TUSD'!$P$60</f>
        <v>0</v>
      </c>
      <c r="Q25" s="12">
        <f>'TR TUSD'!$Q$25*'TR TUSD'!$Q$60</f>
        <v>89.761417443877093</v>
      </c>
      <c r="R25" s="12">
        <f>'TR TUSD'!$R$25*'TR TUSD'!$R$60</f>
        <v>14.184778271875496</v>
      </c>
      <c r="S25" s="12">
        <f>'TR TUSD'!$S$25*'TR TUSD'!$S$60</f>
        <v>0</v>
      </c>
      <c r="T25" s="12">
        <f ca="1">SUM($L$25:$S$25)</f>
        <v>104.54601083094911</v>
      </c>
      <c r="U25" s="12">
        <f>'TR TUSD'!$U$25*'TR TUSD'!$U$60</f>
        <v>0</v>
      </c>
      <c r="V25" s="12">
        <f>'TR TUSD'!$V$25*'TR TUSD'!$V$60</f>
        <v>0</v>
      </c>
      <c r="W25" s="12">
        <f>'TR TUSD'!$W$25*'TR TUSD'!$W$60</f>
        <v>0</v>
      </c>
      <c r="X25" s="12">
        <f>'TR TUSD'!$X$25*'TR TUSD'!$X$60</f>
        <v>0</v>
      </c>
      <c r="Y25" s="12">
        <f>'TR TUSD'!$Y$25*'TR TUSD'!$Y$60</f>
        <v>36.813589755980459</v>
      </c>
      <c r="Z25" s="12">
        <f>'TR TUSD'!$Z$25</f>
        <v>0</v>
      </c>
      <c r="AA25" s="12">
        <f>'TR TUSD'!$AA$25</f>
        <v>0</v>
      </c>
      <c r="AB25" s="12">
        <f>SUM($U$25:$AA$25)</f>
        <v>36.813589755980459</v>
      </c>
      <c r="AC25" s="12">
        <f>'TR TUSD'!$AC$25*'TR TUSD'!$AC$60</f>
        <v>131.79177965872671</v>
      </c>
      <c r="AD25" s="12">
        <f>SUM($AC$25:$AC$25)</f>
        <v>131.79177965872671</v>
      </c>
      <c r="AE25" s="12">
        <v>0</v>
      </c>
      <c r="AF25" s="12">
        <v>0</v>
      </c>
      <c r="AG25" s="12">
        <f>SUM($AE$25:$AF$25)</f>
        <v>0</v>
      </c>
      <c r="AH25" s="12">
        <f>'TR TUSD'!$AH$25*'TR TUSD'!$AH$60</f>
        <v>13.503490435755994</v>
      </c>
      <c r="AI25" s="12">
        <f>'TR TUSD'!$AI$25*'TR TUSD'!$AI$60</f>
        <v>0</v>
      </c>
      <c r="AJ25" s="12">
        <f ca="1">'TR TUSD'!$AJ$25*'TR TUSD'!$AJ$60</f>
        <v>0</v>
      </c>
      <c r="AK25" s="12">
        <f ca="1">'TR TUSD'!$AK$25*'TR TUSD'!$AK$60</f>
        <v>0</v>
      </c>
      <c r="AL25" s="12">
        <f ca="1">SUM($AH$25:$AK$25)</f>
        <v>13.503490435755994</v>
      </c>
      <c r="AM25" s="12">
        <f ca="1">SUMIF($L$4:$AL$4,"SUBTOTAL",$L$25:$AL$25)</f>
        <v>286.65487068141226</v>
      </c>
      <c r="AP25" s="12">
        <v>1</v>
      </c>
    </row>
    <row r="26" spans="1:42" ht="11.25" customHeight="1" x14ac:dyDescent="0.25">
      <c r="A26" s="108"/>
      <c r="B26" s="108"/>
      <c r="C26" s="108"/>
      <c r="D26" s="18" t="s">
        <v>27</v>
      </c>
      <c r="E26" s="18" t="s">
        <v>25</v>
      </c>
      <c r="F26" s="18" t="s">
        <v>25</v>
      </c>
      <c r="G26" s="17" t="s">
        <v>69</v>
      </c>
      <c r="H26" s="17" t="s">
        <v>63</v>
      </c>
      <c r="I26" s="17">
        <f>'MERCADO TUSD'!$U$23</f>
        <v>0</v>
      </c>
      <c r="J26" s="15"/>
      <c r="L26" s="12">
        <f>'TR TUSD'!$L$26*'TR TUSD'!$L$60</f>
        <v>0</v>
      </c>
      <c r="M26" s="12">
        <f>'TR TUSD'!$M$26*'TR TUSD'!$M$60</f>
        <v>0.59981511519652564</v>
      </c>
      <c r="N26" s="12">
        <f ca="1">'TR TUSD'!$N$26*'TR TUSD'!$N$60</f>
        <v>0</v>
      </c>
      <c r="O26" s="12">
        <f>'TR TUSD'!$O$26*'TR TUSD'!$O$60</f>
        <v>0</v>
      </c>
      <c r="P26" s="12">
        <f>'TR TUSD'!$P$26*'TR TUSD'!$P$60</f>
        <v>0</v>
      </c>
      <c r="Q26" s="12">
        <f>'TR TUSD'!$Q$26*'TR TUSD'!$Q$60</f>
        <v>0</v>
      </c>
      <c r="R26" s="12">
        <f>'TR TUSD'!$R$26*'TR TUSD'!$R$60</f>
        <v>0</v>
      </c>
      <c r="S26" s="12">
        <f>'TR TUSD'!$S$26*'TR TUSD'!$S$60</f>
        <v>0</v>
      </c>
      <c r="T26" s="12">
        <f ca="1">SUM($L$26:$S$26)</f>
        <v>0.59981511519652564</v>
      </c>
      <c r="U26" s="12">
        <f>'TR TUSD'!$U$26*'TR TUSD'!$U$60</f>
        <v>0</v>
      </c>
      <c r="V26" s="12">
        <f>'TR TUSD'!$V$26*'TR TUSD'!$V$60</f>
        <v>0</v>
      </c>
      <c r="W26" s="12">
        <f>'TR TUSD'!$W$26*'TR TUSD'!$W$60</f>
        <v>0</v>
      </c>
      <c r="X26" s="12">
        <f>'TR TUSD'!$X$26*'TR TUSD'!$X$60</f>
        <v>0</v>
      </c>
      <c r="Y26" s="12">
        <f>'TR TUSD'!$Y$26*'TR TUSD'!$Y$60</f>
        <v>36.813589755980459</v>
      </c>
      <c r="Z26" s="12">
        <f>'TR TUSD'!$Z$26</f>
        <v>0</v>
      </c>
      <c r="AA26" s="12">
        <f>'TR TUSD'!$AA$26</f>
        <v>0</v>
      </c>
      <c r="AB26" s="12">
        <f>SUM($U$26:$AA$26)</f>
        <v>36.813589755980459</v>
      </c>
      <c r="AC26" s="12">
        <f>'TR TUSD'!$AC$26*'TR TUSD'!$AC$60</f>
        <v>131.79177965872671</v>
      </c>
      <c r="AD26" s="12">
        <f>SUM($AC$26:$AC$26)</f>
        <v>131.79177965872671</v>
      </c>
      <c r="AE26" s="12">
        <v>0</v>
      </c>
      <c r="AF26" s="12">
        <v>0</v>
      </c>
      <c r="AG26" s="12">
        <f>SUM($AE$26:$AF$26)</f>
        <v>0</v>
      </c>
      <c r="AH26" s="12">
        <f>'TR TUSD'!$AH$26*'TR TUSD'!$AH$60</f>
        <v>13.503490435755994</v>
      </c>
      <c r="AI26" s="12">
        <f>'TR TUSD'!$AI$26*'TR TUSD'!$AI$60</f>
        <v>0</v>
      </c>
      <c r="AJ26" s="12">
        <f ca="1">'TR TUSD'!$AJ$26*'TR TUSD'!$AJ$60</f>
        <v>0</v>
      </c>
      <c r="AK26" s="12">
        <f ca="1">'TR TUSD'!$AK$26*'TR TUSD'!$AK$60</f>
        <v>0</v>
      </c>
      <c r="AL26" s="12">
        <f ca="1">SUM($AH$26:$AK$26)</f>
        <v>13.503490435755994</v>
      </c>
      <c r="AM26" s="12">
        <f ca="1">SUMIF($L$4:$AL$4,"SUBTOTAL",$L$26:$AL$26)</f>
        <v>182.7086749656597</v>
      </c>
      <c r="AP26" s="12">
        <f>IF((1 - CUSTOS!$M$24)&lt;&gt;0,1/(1 - CUSTOS!$M$24),1)</f>
        <v>1</v>
      </c>
    </row>
    <row r="27" spans="1:42" ht="11.25" customHeight="1" x14ac:dyDescent="0.25">
      <c r="A27" s="108"/>
      <c r="B27" s="108"/>
      <c r="C27" s="108"/>
      <c r="D27" s="18" t="s">
        <v>28</v>
      </c>
      <c r="E27" s="18" t="s">
        <v>25</v>
      </c>
      <c r="F27" s="18" t="s">
        <v>25</v>
      </c>
      <c r="G27" s="17" t="s">
        <v>69</v>
      </c>
      <c r="H27" s="17" t="s">
        <v>63</v>
      </c>
      <c r="I27" s="17">
        <f>'MERCADO TUSD'!$U$24</f>
        <v>0</v>
      </c>
      <c r="J27" s="15"/>
      <c r="L27" s="12">
        <f>'TR TUSD'!$L$27*'TR TUSD'!$L$60</f>
        <v>0</v>
      </c>
      <c r="M27" s="12">
        <f>'TR TUSD'!$M$27*'TR TUSD'!$M$60</f>
        <v>0.59981511519652564</v>
      </c>
      <c r="N27" s="12">
        <f ca="1">'TR TUSD'!$N$27*'TR TUSD'!$N$60</f>
        <v>0</v>
      </c>
      <c r="O27" s="12">
        <f>'TR TUSD'!$O$27*'TR TUSD'!$O$60</f>
        <v>0</v>
      </c>
      <c r="P27" s="12">
        <f>'TR TUSD'!$P$27*'TR TUSD'!$P$60</f>
        <v>0</v>
      </c>
      <c r="Q27" s="12">
        <f>'TR TUSD'!$Q$27*'TR TUSD'!$Q$60</f>
        <v>0</v>
      </c>
      <c r="R27" s="12">
        <f>'TR TUSD'!$R$27*'TR TUSD'!$R$60</f>
        <v>0</v>
      </c>
      <c r="S27" s="12">
        <f>'TR TUSD'!$S$27*'TR TUSD'!$S$60</f>
        <v>0</v>
      </c>
      <c r="T27" s="12">
        <f ca="1">SUM($L$27:$S$27)</f>
        <v>0.59981511519652564</v>
      </c>
      <c r="U27" s="12">
        <f>'TR TUSD'!$U$27*'TR TUSD'!$U$60</f>
        <v>0</v>
      </c>
      <c r="V27" s="12">
        <f>'TR TUSD'!$V$27*'TR TUSD'!$V$60</f>
        <v>0</v>
      </c>
      <c r="W27" s="12">
        <f>'TR TUSD'!$W$27*'TR TUSD'!$W$60</f>
        <v>0</v>
      </c>
      <c r="X27" s="12">
        <f>'TR TUSD'!$X$27*'TR TUSD'!$X$60</f>
        <v>0</v>
      </c>
      <c r="Y27" s="12">
        <f>'TR TUSD'!$Y$27*'TR TUSD'!$Y$60</f>
        <v>36.813589755980459</v>
      </c>
      <c r="Z27" s="12">
        <f>'TR TUSD'!$Z$27</f>
        <v>0</v>
      </c>
      <c r="AA27" s="12">
        <f>'TR TUSD'!$AA$27</f>
        <v>0</v>
      </c>
      <c r="AB27" s="12">
        <f>SUM($U$27:$AA$27)</f>
        <v>36.813589755980459</v>
      </c>
      <c r="AC27" s="12">
        <f>'TR TUSD'!$AC$27*'TR TUSD'!$AC$60</f>
        <v>131.79177965872671</v>
      </c>
      <c r="AD27" s="12">
        <f>SUM($AC$27:$AC$27)</f>
        <v>131.79177965872671</v>
      </c>
      <c r="AE27" s="12">
        <v>0</v>
      </c>
      <c r="AF27" s="12">
        <v>0</v>
      </c>
      <c r="AG27" s="12">
        <f>SUM($AE$27:$AF$27)</f>
        <v>0</v>
      </c>
      <c r="AH27" s="12">
        <f>'TR TUSD'!$AH$27*'TR TUSD'!$AH$60</f>
        <v>13.503490435755994</v>
      </c>
      <c r="AI27" s="12">
        <f>'TR TUSD'!$AI$27*'TR TUSD'!$AI$60</f>
        <v>0</v>
      </c>
      <c r="AJ27" s="12">
        <f ca="1">'TR TUSD'!$AJ$27*'TR TUSD'!$AJ$60</f>
        <v>0</v>
      </c>
      <c r="AK27" s="12">
        <f ca="1">'TR TUSD'!$AK$27*'TR TUSD'!$AK$60</f>
        <v>0</v>
      </c>
      <c r="AL27" s="12">
        <f ca="1">SUM($AH$27:$AK$27)</f>
        <v>13.503490435755994</v>
      </c>
      <c r="AM27" s="12">
        <f ca="1">SUMIF($L$4:$AL$4,"SUBTOTAL",$L$27:$AL$27)</f>
        <v>182.7086749656597</v>
      </c>
      <c r="AP27" s="12">
        <f>IF((1 - CUSTOS!$M$25)&lt;&gt;0,1/(1 - CUSTOS!$M$25),1)</f>
        <v>1</v>
      </c>
    </row>
    <row r="28" spans="1:42" ht="11.25" customHeight="1" x14ac:dyDescent="0.25">
      <c r="A28" s="108"/>
      <c r="B28" s="108"/>
      <c r="C28" s="108"/>
      <c r="D28" s="18" t="s">
        <v>29</v>
      </c>
      <c r="E28" s="18" t="s">
        <v>25</v>
      </c>
      <c r="F28" s="18" t="s">
        <v>25</v>
      </c>
      <c r="G28" s="17" t="s">
        <v>69</v>
      </c>
      <c r="H28" s="17" t="s">
        <v>63</v>
      </c>
      <c r="I28" s="17">
        <f>'MERCADO TUSD'!$U$25</f>
        <v>0</v>
      </c>
      <c r="J28" s="15"/>
      <c r="L28" s="12">
        <f>'TR TUSD'!$L$28*'TR TUSD'!$L$60</f>
        <v>0</v>
      </c>
      <c r="M28" s="12">
        <f>'TR TUSD'!$M$28*'TR TUSD'!$M$60</f>
        <v>0.59981511519652564</v>
      </c>
      <c r="N28" s="12">
        <f ca="1">'TR TUSD'!$N$28*'TR TUSD'!$N$60</f>
        <v>0</v>
      </c>
      <c r="O28" s="12">
        <f>'TR TUSD'!$O$28*'TR TUSD'!$O$60</f>
        <v>0</v>
      </c>
      <c r="P28" s="12">
        <f>'TR TUSD'!$P$28*'TR TUSD'!$P$60</f>
        <v>0</v>
      </c>
      <c r="Q28" s="12">
        <f>'TR TUSD'!$Q$28*'TR TUSD'!$Q$60</f>
        <v>0</v>
      </c>
      <c r="R28" s="12">
        <f>'TR TUSD'!$R$28*'TR TUSD'!$R$60</f>
        <v>0</v>
      </c>
      <c r="S28" s="12">
        <f>'TR TUSD'!$S$28*'TR TUSD'!$S$60</f>
        <v>0</v>
      </c>
      <c r="T28" s="12">
        <f ca="1">SUM($L$28:$S$28)</f>
        <v>0.59981511519652564</v>
      </c>
      <c r="U28" s="12">
        <f>'TR TUSD'!$U$28*'TR TUSD'!$U$60</f>
        <v>0</v>
      </c>
      <c r="V28" s="12">
        <f>'TR TUSD'!$V$28*'TR TUSD'!$V$60</f>
        <v>0</v>
      </c>
      <c r="W28" s="12">
        <f>'TR TUSD'!$W$28*'TR TUSD'!$W$60</f>
        <v>0</v>
      </c>
      <c r="X28" s="12">
        <f>'TR TUSD'!$X$28*'TR TUSD'!$X$60</f>
        <v>0</v>
      </c>
      <c r="Y28" s="12">
        <f>'TR TUSD'!$Y$28*'TR TUSD'!$Y$60</f>
        <v>36.813589755980459</v>
      </c>
      <c r="Z28" s="12">
        <f>'TR TUSD'!$Z$28</f>
        <v>0</v>
      </c>
      <c r="AA28" s="12">
        <f>'TR TUSD'!$AA$28</f>
        <v>0</v>
      </c>
      <c r="AB28" s="12">
        <f>SUM($U$28:$AA$28)</f>
        <v>36.813589755980459</v>
      </c>
      <c r="AC28" s="12">
        <f>'TR TUSD'!$AC$28*'TR TUSD'!$AC$60</f>
        <v>131.79177965872671</v>
      </c>
      <c r="AD28" s="12">
        <f>SUM($AC$28:$AC$28)</f>
        <v>131.79177965872671</v>
      </c>
      <c r="AE28" s="12">
        <v>0</v>
      </c>
      <c r="AF28" s="12">
        <v>0</v>
      </c>
      <c r="AG28" s="12">
        <f>SUM($AE$28:$AF$28)</f>
        <v>0</v>
      </c>
      <c r="AH28" s="12">
        <f>'TR TUSD'!$AH$28*'TR TUSD'!$AH$60</f>
        <v>13.503490435755994</v>
      </c>
      <c r="AI28" s="12">
        <f>'TR TUSD'!$AI$28*'TR TUSD'!$AI$60</f>
        <v>0</v>
      </c>
      <c r="AJ28" s="12">
        <f ca="1">'TR TUSD'!$AJ$28*'TR TUSD'!$AJ$60</f>
        <v>0</v>
      </c>
      <c r="AK28" s="12">
        <f ca="1">'TR TUSD'!$AK$28*'TR TUSD'!$AK$60</f>
        <v>0</v>
      </c>
      <c r="AL28" s="12">
        <f ca="1">SUM($AH$28:$AK$28)</f>
        <v>13.503490435755994</v>
      </c>
      <c r="AM28" s="12">
        <f ca="1">SUMIF($L$4:$AL$4,"SUBTOTAL",$L$28:$AL$28)</f>
        <v>182.7086749656597</v>
      </c>
      <c r="AP28" s="12">
        <f>IF((1 - CUSTOS!$M$26)&lt;&gt;0,1/(1 - CUSTOS!$M$26),1)</f>
        <v>1</v>
      </c>
    </row>
    <row r="29" spans="1:42" ht="11.25" customHeight="1" x14ac:dyDescent="0.25">
      <c r="A29" s="108"/>
      <c r="B29" s="108"/>
      <c r="C29" s="108"/>
      <c r="D29" s="18" t="s">
        <v>30</v>
      </c>
      <c r="E29" s="18" t="s">
        <v>25</v>
      </c>
      <c r="F29" s="18" t="s">
        <v>25</v>
      </c>
      <c r="G29" s="17" t="s">
        <v>69</v>
      </c>
      <c r="H29" s="17" t="s">
        <v>63</v>
      </c>
      <c r="I29" s="17">
        <f>'MERCADO TUSD'!$U$26</f>
        <v>0</v>
      </c>
      <c r="J29" s="15"/>
      <c r="L29" s="12">
        <f>'TR TUSD'!$L$29*'TR TUSD'!$L$60</f>
        <v>0</v>
      </c>
      <c r="M29" s="12">
        <f>'TR TUSD'!$M$29*'TR TUSD'!$M$60</f>
        <v>0.59981511519652564</v>
      </c>
      <c r="N29" s="12">
        <f ca="1">'TR TUSD'!$N$29*'TR TUSD'!$N$60</f>
        <v>0</v>
      </c>
      <c r="O29" s="12">
        <f>'TR TUSD'!$O$29*'TR TUSD'!$O$60</f>
        <v>0</v>
      </c>
      <c r="P29" s="12">
        <f>'TR TUSD'!$P$29*'TR TUSD'!$P$60</f>
        <v>0</v>
      </c>
      <c r="Q29" s="12">
        <f>'TR TUSD'!$Q$29*'TR TUSD'!$Q$60</f>
        <v>0</v>
      </c>
      <c r="R29" s="12">
        <f>'TR TUSD'!$R$29*'TR TUSD'!$R$60</f>
        <v>0</v>
      </c>
      <c r="S29" s="12">
        <f>'TR TUSD'!$S$29*'TR TUSD'!$S$60</f>
        <v>0</v>
      </c>
      <c r="T29" s="12">
        <f ca="1">SUM($L$29:$S$29)</f>
        <v>0.59981511519652564</v>
      </c>
      <c r="U29" s="12">
        <f>'TR TUSD'!$U$29*'TR TUSD'!$U$60</f>
        <v>0</v>
      </c>
      <c r="V29" s="12">
        <f>'TR TUSD'!$V$29*'TR TUSD'!$V$60</f>
        <v>0</v>
      </c>
      <c r="W29" s="12">
        <f>'TR TUSD'!$W$29*'TR TUSD'!$W$60</f>
        <v>0</v>
      </c>
      <c r="X29" s="12">
        <f>'TR TUSD'!$X$29*'TR TUSD'!$X$60</f>
        <v>0</v>
      </c>
      <c r="Y29" s="12">
        <f>'TR TUSD'!$Y$29*'TR TUSD'!$Y$60</f>
        <v>36.813589755980459</v>
      </c>
      <c r="Z29" s="12">
        <f>'TR TUSD'!$Z$29</f>
        <v>0</v>
      </c>
      <c r="AA29" s="12">
        <f>'TR TUSD'!$AA$29</f>
        <v>0</v>
      </c>
      <c r="AB29" s="12">
        <f>SUM($U$29:$AA$29)</f>
        <v>36.813589755980459</v>
      </c>
      <c r="AC29" s="12">
        <f>'TR TUSD'!$AC$29*'TR TUSD'!$AC$60</f>
        <v>131.79177965872671</v>
      </c>
      <c r="AD29" s="12">
        <f>SUM($AC$29:$AC$29)</f>
        <v>131.79177965872671</v>
      </c>
      <c r="AE29" s="12">
        <v>0</v>
      </c>
      <c r="AF29" s="12">
        <v>0</v>
      </c>
      <c r="AG29" s="12">
        <f>SUM($AE$29:$AF$29)</f>
        <v>0</v>
      </c>
      <c r="AH29" s="12">
        <f>'TR TUSD'!$AH$29*'TR TUSD'!$AH$60</f>
        <v>13.503490435755994</v>
      </c>
      <c r="AI29" s="12">
        <f>'TR TUSD'!$AI$29*'TR TUSD'!$AI$60</f>
        <v>0</v>
      </c>
      <c r="AJ29" s="12">
        <f ca="1">'TR TUSD'!$AJ$29*'TR TUSD'!$AJ$60</f>
        <v>0</v>
      </c>
      <c r="AK29" s="12">
        <f ca="1">'TR TUSD'!$AK$29*'TR TUSD'!$AK$60</f>
        <v>0</v>
      </c>
      <c r="AL29" s="12">
        <f ca="1">SUM($AH$29:$AK$29)</f>
        <v>13.503490435755994</v>
      </c>
      <c r="AM29" s="12">
        <f ca="1">SUMIF($L$4:$AL$4,"SUBTOTAL",$L$29:$AL$29)</f>
        <v>182.7086749656597</v>
      </c>
      <c r="AP29" s="12">
        <f>IF((1 - CUSTOS!$M$27)&lt;&gt;0,1/(1 - CUSTOS!$M$27),1)</f>
        <v>1</v>
      </c>
    </row>
    <row r="30" spans="1:42" ht="11.25" customHeight="1" x14ac:dyDescent="0.25">
      <c r="A30" s="108" t="s">
        <v>39</v>
      </c>
      <c r="B30" s="108" t="s">
        <v>77</v>
      </c>
      <c r="C30" s="108" t="s">
        <v>40</v>
      </c>
      <c r="D30" s="108" t="s">
        <v>25</v>
      </c>
      <c r="E30" s="108" t="s">
        <v>25</v>
      </c>
      <c r="F30" s="108" t="s">
        <v>25</v>
      </c>
      <c r="G30" s="17" t="s">
        <v>64</v>
      </c>
      <c r="H30" s="17" t="s">
        <v>63</v>
      </c>
      <c r="I30" s="17">
        <f>'MERCADO TUSD'!$U$27</f>
        <v>0</v>
      </c>
      <c r="J30" s="15"/>
      <c r="L30" s="12">
        <f>'TR TUSD'!$L$30*'TR TUSD'!$L$60</f>
        <v>0</v>
      </c>
      <c r="M30" s="12">
        <f>'TR TUSD'!$M$30*'TR TUSD'!$M$60</f>
        <v>0.59981511519652564</v>
      </c>
      <c r="N30" s="12">
        <f ca="1">'TR TUSD'!$N$30*'TR TUSD'!$N$60</f>
        <v>0</v>
      </c>
      <c r="O30" s="12">
        <f>'TR TUSD'!$O$30*'TR TUSD'!$O$60</f>
        <v>0</v>
      </c>
      <c r="P30" s="12">
        <f>'TR TUSD'!$P$30*'TR TUSD'!$P$60</f>
        <v>0</v>
      </c>
      <c r="Q30" s="12">
        <f>'TR TUSD'!$Q$30*'TR TUSD'!$Q$60</f>
        <v>89.761417443877093</v>
      </c>
      <c r="R30" s="12">
        <f>'TR TUSD'!$R$30*'TR TUSD'!$R$60</f>
        <v>14.184778271875496</v>
      </c>
      <c r="S30" s="12">
        <f>'TR TUSD'!$S$30*'TR TUSD'!$S$60</f>
        <v>0</v>
      </c>
      <c r="T30" s="12">
        <f ca="1">SUM($L$30:$S$30)</f>
        <v>104.54601083094911</v>
      </c>
      <c r="U30" s="12">
        <f>'TR TUSD'!$U$30*'TR TUSD'!$U$60</f>
        <v>0</v>
      </c>
      <c r="V30" s="12">
        <f>'TR TUSD'!$V$30*'TR TUSD'!$V$60</f>
        <v>0</v>
      </c>
      <c r="W30" s="12">
        <f>'TR TUSD'!$W$30*'TR TUSD'!$W$60</f>
        <v>0</v>
      </c>
      <c r="X30" s="12">
        <f>'TR TUSD'!$X$30*'TR TUSD'!$X$60</f>
        <v>0</v>
      </c>
      <c r="Y30" s="12">
        <f>'TR TUSD'!$Y$30*'TR TUSD'!$Y$60</f>
        <v>108.58212812200941</v>
      </c>
      <c r="Z30" s="12">
        <f>'TR TUSD'!$Z$30</f>
        <v>0</v>
      </c>
      <c r="AA30" s="12">
        <f>'TR TUSD'!$AA$30</f>
        <v>0</v>
      </c>
      <c r="AB30" s="12">
        <f>SUM($U$30:$AA$30)</f>
        <v>108.58212812200941</v>
      </c>
      <c r="AC30" s="12">
        <f>'TR TUSD'!$AC$30*'TR TUSD'!$AC$60</f>
        <v>388.78577237894388</v>
      </c>
      <c r="AD30" s="12">
        <f>SUM($AC$30:$AC$30)</f>
        <v>388.78577237894388</v>
      </c>
      <c r="AE30" s="12">
        <v>0</v>
      </c>
      <c r="AF30" s="12">
        <v>0</v>
      </c>
      <c r="AG30" s="12">
        <f>SUM($AE$30:$AF$30)</f>
        <v>0</v>
      </c>
      <c r="AH30" s="12">
        <f>'TR TUSD'!$AH$30*'TR TUSD'!$AH$60</f>
        <v>13.503490435755994</v>
      </c>
      <c r="AI30" s="12">
        <f>'TR TUSD'!$AI$30*'TR TUSD'!$AI$60</f>
        <v>0</v>
      </c>
      <c r="AJ30" s="12">
        <f ca="1">'TR TUSD'!$AJ$30*'TR TUSD'!$AJ$60</f>
        <v>0</v>
      </c>
      <c r="AK30" s="12">
        <f ca="1">'TR TUSD'!$AK$30*'TR TUSD'!$AK$60</f>
        <v>0</v>
      </c>
      <c r="AL30" s="12">
        <f ca="1">SUM($AH$30:$AK$30)</f>
        <v>13.503490435755994</v>
      </c>
      <c r="AM30" s="12">
        <f ca="1">SUMIF($L$4:$AL$4,"SUBTOTAL",$L$30:$AL$30)</f>
        <v>615.41740176765848</v>
      </c>
      <c r="AP30" s="12">
        <f>IF((1 - CUSTOS!$M$28)&lt;&gt;0,1/(1 - CUSTOS!$M$28),1)</f>
        <v>1</v>
      </c>
    </row>
    <row r="31" spans="1:42" ht="11.25" customHeight="1" x14ac:dyDescent="0.25">
      <c r="A31" s="108"/>
      <c r="B31" s="108"/>
      <c r="C31" s="108"/>
      <c r="D31" s="108"/>
      <c r="E31" s="108"/>
      <c r="F31" s="108"/>
      <c r="G31" s="17" t="s">
        <v>75</v>
      </c>
      <c r="H31" s="17" t="s">
        <v>63</v>
      </c>
      <c r="I31" s="17">
        <f>'MERCADO TUSD'!$U$28</f>
        <v>0</v>
      </c>
      <c r="J31" s="15"/>
      <c r="L31" s="12">
        <f>'TR TUSD'!$L$31*'TR TUSD'!$L$60</f>
        <v>0</v>
      </c>
      <c r="M31" s="12">
        <f>'TR TUSD'!$M$31*'TR TUSD'!$M$60</f>
        <v>0.59981511519652564</v>
      </c>
      <c r="N31" s="12">
        <f ca="1">'TR TUSD'!$N$31*'TR TUSD'!$N$60</f>
        <v>0</v>
      </c>
      <c r="O31" s="12">
        <f>'TR TUSD'!$O$31*'TR TUSD'!$O$60</f>
        <v>0</v>
      </c>
      <c r="P31" s="12">
        <f>'TR TUSD'!$P$31*'TR TUSD'!$P$60</f>
        <v>0</v>
      </c>
      <c r="Q31" s="12">
        <f>'TR TUSD'!$Q$31*'TR TUSD'!$Q$60</f>
        <v>89.761417443877093</v>
      </c>
      <c r="R31" s="12">
        <f>'TR TUSD'!$R$31*'TR TUSD'!$R$60</f>
        <v>14.184778271875496</v>
      </c>
      <c r="S31" s="12">
        <f>'TR TUSD'!$S$31*'TR TUSD'!$S$60</f>
        <v>0</v>
      </c>
      <c r="T31" s="12">
        <f ca="1">SUM($L$31:$S$31)</f>
        <v>104.54601083094911</v>
      </c>
      <c r="U31" s="12">
        <f>'TR TUSD'!$U$31*'TR TUSD'!$U$60</f>
        <v>0</v>
      </c>
      <c r="V31" s="12">
        <f>'TR TUSD'!$V$31*'TR TUSD'!$V$60</f>
        <v>0</v>
      </c>
      <c r="W31" s="12">
        <f>'TR TUSD'!$W$31*'TR TUSD'!$W$60</f>
        <v>0</v>
      </c>
      <c r="X31" s="12">
        <f>'TR TUSD'!$X$31*'TR TUSD'!$X$60</f>
        <v>0</v>
      </c>
      <c r="Y31" s="12">
        <f>'TR TUSD'!$Y$31*'TR TUSD'!$Y$60</f>
        <v>65.130534273414725</v>
      </c>
      <c r="Z31" s="12">
        <f>'TR TUSD'!$Z$31</f>
        <v>0</v>
      </c>
      <c r="AA31" s="12">
        <f>'TR TUSD'!$AA$31</f>
        <v>0</v>
      </c>
      <c r="AB31" s="12">
        <f>SUM($U$31:$AA$31)</f>
        <v>65.130534273414725</v>
      </c>
      <c r="AC31" s="12">
        <f>'TR TUSD'!$AC$31*'TR TUSD'!$AC$60</f>
        <v>233.27153058446649</v>
      </c>
      <c r="AD31" s="12">
        <f>SUM($AC$31:$AC$31)</f>
        <v>233.27153058446649</v>
      </c>
      <c r="AE31" s="12">
        <v>0</v>
      </c>
      <c r="AF31" s="12">
        <v>0</v>
      </c>
      <c r="AG31" s="12">
        <f>SUM($AE$31:$AF$31)</f>
        <v>0</v>
      </c>
      <c r="AH31" s="12">
        <f>'TR TUSD'!$AH$31*'TR TUSD'!$AH$60</f>
        <v>13.503490435755994</v>
      </c>
      <c r="AI31" s="12">
        <f>'TR TUSD'!$AI$31*'TR TUSD'!$AI$60</f>
        <v>0</v>
      </c>
      <c r="AJ31" s="12">
        <f ca="1">'TR TUSD'!$AJ$31*'TR TUSD'!$AJ$60</f>
        <v>0</v>
      </c>
      <c r="AK31" s="12">
        <f ca="1">'TR TUSD'!$AK$31*'TR TUSD'!$AK$60</f>
        <v>0</v>
      </c>
      <c r="AL31" s="12">
        <f ca="1">SUM($AH$31:$AK$31)</f>
        <v>13.503490435755994</v>
      </c>
      <c r="AM31" s="12">
        <f ca="1">SUMIF($L$4:$AL$4,"SUBTOTAL",$L$31:$AL$31)</f>
        <v>416.45156612458635</v>
      </c>
      <c r="AP31" s="12">
        <f>IF((1 - CUSTOS!$M$28)&lt;&gt;0,1/(1 - CUSTOS!$M$28),1)</f>
        <v>1</v>
      </c>
    </row>
    <row r="32" spans="1:42" ht="11.25" customHeight="1" x14ac:dyDescent="0.25">
      <c r="A32" s="108"/>
      <c r="B32" s="108"/>
      <c r="C32" s="108"/>
      <c r="D32" s="108"/>
      <c r="E32" s="108"/>
      <c r="F32" s="108"/>
      <c r="G32" s="17" t="s">
        <v>65</v>
      </c>
      <c r="H32" s="17" t="s">
        <v>63</v>
      </c>
      <c r="I32" s="17">
        <f>'MERCADO TUSD'!$U$29</f>
        <v>0</v>
      </c>
      <c r="J32" s="15"/>
      <c r="L32" s="12">
        <f>'TR TUSD'!$L$32*'TR TUSD'!$L$60</f>
        <v>0</v>
      </c>
      <c r="M32" s="12">
        <f>'TR TUSD'!$M$32*'TR TUSD'!$M$60</f>
        <v>0.59981511519652564</v>
      </c>
      <c r="N32" s="12">
        <f ca="1">'TR TUSD'!$N$32*'TR TUSD'!$N$60</f>
        <v>0</v>
      </c>
      <c r="O32" s="12">
        <f>'TR TUSD'!$O$32*'TR TUSD'!$O$60</f>
        <v>0</v>
      </c>
      <c r="P32" s="12">
        <f>'TR TUSD'!$P$32*'TR TUSD'!$P$60</f>
        <v>0</v>
      </c>
      <c r="Q32" s="12">
        <f>'TR TUSD'!$Q$32*'TR TUSD'!$Q$60</f>
        <v>89.761417443877093</v>
      </c>
      <c r="R32" s="12">
        <f>'TR TUSD'!$R$32*'TR TUSD'!$R$60</f>
        <v>14.184778271875496</v>
      </c>
      <c r="S32" s="12">
        <f>'TR TUSD'!$S$32*'TR TUSD'!$S$60</f>
        <v>0</v>
      </c>
      <c r="T32" s="12">
        <f ca="1">SUM($L$32:$S$32)</f>
        <v>104.54601083094911</v>
      </c>
      <c r="U32" s="12">
        <f>'TR TUSD'!$U$32*'TR TUSD'!$U$60</f>
        <v>0</v>
      </c>
      <c r="V32" s="12">
        <f>'TR TUSD'!$V$32*'TR TUSD'!$V$60</f>
        <v>0</v>
      </c>
      <c r="W32" s="12">
        <f>'TR TUSD'!$W$32*'TR TUSD'!$W$60</f>
        <v>0</v>
      </c>
      <c r="X32" s="12">
        <f>'TR TUSD'!$X$32*'TR TUSD'!$X$60</f>
        <v>0</v>
      </c>
      <c r="Y32" s="12">
        <f>'TR TUSD'!$Y$32*'TR TUSD'!$Y$60</f>
        <v>21.725796924297338</v>
      </c>
      <c r="Z32" s="12">
        <f>'TR TUSD'!$Z$32</f>
        <v>0</v>
      </c>
      <c r="AA32" s="12">
        <f>'TR TUSD'!$AA$32</f>
        <v>0</v>
      </c>
      <c r="AB32" s="12">
        <f>SUM($U$32:$AA$32)</f>
        <v>21.725796924297338</v>
      </c>
      <c r="AC32" s="12">
        <f>'TR TUSD'!$AC$32*'TR TUSD'!$AC$60</f>
        <v>77.757176861488816</v>
      </c>
      <c r="AD32" s="12">
        <f>SUM($AC$32:$AC$32)</f>
        <v>77.757176861488816</v>
      </c>
      <c r="AE32" s="12">
        <v>0</v>
      </c>
      <c r="AF32" s="12">
        <v>0</v>
      </c>
      <c r="AG32" s="12">
        <f>SUM($AE$32:$AF$32)</f>
        <v>0</v>
      </c>
      <c r="AH32" s="12">
        <f>'TR TUSD'!$AH$32*'TR TUSD'!$AH$60</f>
        <v>13.503490435755994</v>
      </c>
      <c r="AI32" s="12">
        <f>'TR TUSD'!$AI$32*'TR TUSD'!$AI$60</f>
        <v>0</v>
      </c>
      <c r="AJ32" s="12">
        <f ca="1">'TR TUSD'!$AJ$32*'TR TUSD'!$AJ$60</f>
        <v>0</v>
      </c>
      <c r="AK32" s="12">
        <f ca="1">'TR TUSD'!$AK$32*'TR TUSD'!$AK$60</f>
        <v>0</v>
      </c>
      <c r="AL32" s="12">
        <f ca="1">SUM($AH$32:$AK$32)</f>
        <v>13.503490435755994</v>
      </c>
      <c r="AM32" s="12">
        <f ca="1">SUMIF($L$4:$AL$4,"SUBTOTAL",$L$32:$AL$32)</f>
        <v>217.53247505249126</v>
      </c>
      <c r="AP32" s="12">
        <f>IF((1 - CUSTOS!$M$28)&lt;&gt;0,1/(1 - CUSTOS!$M$28),1)</f>
        <v>1</v>
      </c>
    </row>
    <row r="33" spans="1:42" ht="11.25" customHeight="1" x14ac:dyDescent="0.25">
      <c r="A33" s="108"/>
      <c r="B33" s="18" t="s">
        <v>23</v>
      </c>
      <c r="C33" s="18" t="s">
        <v>40</v>
      </c>
      <c r="D33" s="18" t="s">
        <v>25</v>
      </c>
      <c r="E33" s="18" t="s">
        <v>25</v>
      </c>
      <c r="F33" s="18" t="s">
        <v>25</v>
      </c>
      <c r="G33" s="17" t="s">
        <v>69</v>
      </c>
      <c r="H33" s="17" t="s">
        <v>63</v>
      </c>
      <c r="I33" s="17">
        <f>'MERCADO TUSD'!$U$30</f>
        <v>668.58</v>
      </c>
      <c r="J33" s="15"/>
      <c r="L33" s="12">
        <f>'TR TUSD'!$L$33*'TR TUSD'!$L$60</f>
        <v>0</v>
      </c>
      <c r="M33" s="12">
        <f>'TR TUSD'!$M$33*'TR TUSD'!$M$60</f>
        <v>0.59981511519652564</v>
      </c>
      <c r="N33" s="12">
        <f ca="1">'TR TUSD'!$N$33*'TR TUSD'!$N$60</f>
        <v>0</v>
      </c>
      <c r="O33" s="12">
        <f>'TR TUSD'!$O$33*'TR TUSD'!$O$60</f>
        <v>0</v>
      </c>
      <c r="P33" s="12">
        <f>'TR TUSD'!$P$33*'TR TUSD'!$P$60</f>
        <v>0</v>
      </c>
      <c r="Q33" s="12">
        <f>'TR TUSD'!$Q$33*'TR TUSD'!$Q$60</f>
        <v>89.761417443877093</v>
      </c>
      <c r="R33" s="12">
        <f>'TR TUSD'!$R$33*'TR TUSD'!$R$60</f>
        <v>14.184778271875496</v>
      </c>
      <c r="S33" s="12">
        <f>'TR TUSD'!$S$33*'TR TUSD'!$S$60</f>
        <v>0</v>
      </c>
      <c r="T33" s="12">
        <f ca="1">SUM($L$33:$S$33)</f>
        <v>104.54601083094911</v>
      </c>
      <c r="U33" s="12">
        <f>'TR TUSD'!$U$33*'TR TUSD'!$U$60</f>
        <v>0</v>
      </c>
      <c r="V33" s="12">
        <f>'TR TUSD'!$V$33*'TR TUSD'!$V$60</f>
        <v>0</v>
      </c>
      <c r="W33" s="12">
        <f>'TR TUSD'!$W$33*'TR TUSD'!$W$60</f>
        <v>0</v>
      </c>
      <c r="X33" s="12">
        <f>'TR TUSD'!$X$33*'TR TUSD'!$X$60</f>
        <v>0</v>
      </c>
      <c r="Y33" s="12">
        <f>'TR TUSD'!$Y$33*'TR TUSD'!$Y$60</f>
        <v>36.813589755980459</v>
      </c>
      <c r="Z33" s="12">
        <f>'TR TUSD'!$Z$33</f>
        <v>0</v>
      </c>
      <c r="AA33" s="12">
        <f>'TR TUSD'!$AA$33</f>
        <v>0</v>
      </c>
      <c r="AB33" s="12">
        <f>SUM($U$33:$AA$33)</f>
        <v>36.813589755980459</v>
      </c>
      <c r="AC33" s="12">
        <f>'TR TUSD'!$AC$33*'TR TUSD'!$AC$60</f>
        <v>131.79177965872671</v>
      </c>
      <c r="AD33" s="12">
        <f>SUM($AC$33:$AC$33)</f>
        <v>131.79177965872671</v>
      </c>
      <c r="AE33" s="12">
        <v>0</v>
      </c>
      <c r="AF33" s="12">
        <v>0</v>
      </c>
      <c r="AG33" s="12">
        <f>SUM($AE$33:$AF$33)</f>
        <v>0</v>
      </c>
      <c r="AH33" s="12">
        <f>'TR TUSD'!$AH$33*'TR TUSD'!$AH$60</f>
        <v>13.503490435755994</v>
      </c>
      <c r="AI33" s="12">
        <f>'TR TUSD'!$AI$33*'TR TUSD'!$AI$60</f>
        <v>0</v>
      </c>
      <c r="AJ33" s="12">
        <f ca="1">'TR TUSD'!$AJ$33*'TR TUSD'!$AJ$60</f>
        <v>0</v>
      </c>
      <c r="AK33" s="12">
        <f ca="1">'TR TUSD'!$AK$33*'TR TUSD'!$AK$60</f>
        <v>0</v>
      </c>
      <c r="AL33" s="12">
        <f ca="1">SUM($AH$33:$AK$33)</f>
        <v>13.503490435755994</v>
      </c>
      <c r="AM33" s="12">
        <f ca="1">SUMIF($L$4:$AL$4,"SUBTOTAL",$L$33:$AL$33)</f>
        <v>286.65487068141226</v>
      </c>
      <c r="AP33" s="12">
        <f>IF((1 - CUSTOS!$M$28)&lt;&gt;0,1/(1 - CUSTOS!$M$28),1)</f>
        <v>1</v>
      </c>
    </row>
    <row r="34" spans="1:42" ht="11.25" customHeight="1" x14ac:dyDescent="0.25">
      <c r="A34" s="108"/>
      <c r="B34" s="108" t="s">
        <v>77</v>
      </c>
      <c r="C34" s="108" t="s">
        <v>40</v>
      </c>
      <c r="D34" s="108" t="s">
        <v>80</v>
      </c>
      <c r="E34" s="108" t="s">
        <v>25</v>
      </c>
      <c r="F34" s="108" t="s">
        <v>25</v>
      </c>
      <c r="G34" s="17" t="s">
        <v>64</v>
      </c>
      <c r="H34" s="17" t="s">
        <v>63</v>
      </c>
      <c r="I34" s="17">
        <f>'MERCADO TUSD'!$U$31</f>
        <v>0</v>
      </c>
      <c r="J34" s="15"/>
      <c r="L34" s="12">
        <f>'TR TUSD'!$L$34*'TR TUSD'!$L$60</f>
        <v>0</v>
      </c>
      <c r="M34" s="12">
        <f>'TR TUSD'!$M$34*'TR TUSD'!$M$60</f>
        <v>0.59981511519652564</v>
      </c>
      <c r="N34" s="12">
        <f ca="1">'TR TUSD'!$N$34*'TR TUSD'!$N$60</f>
        <v>0</v>
      </c>
      <c r="O34" s="12">
        <f>'TR TUSD'!$O$34*'TR TUSD'!$O$60</f>
        <v>0</v>
      </c>
      <c r="P34" s="12">
        <f>'TR TUSD'!$P$34*'TR TUSD'!$P$60</f>
        <v>0</v>
      </c>
      <c r="Q34" s="12">
        <f>'TR TUSD'!$Q$34*'TR TUSD'!$Q$60</f>
        <v>89.761417443877093</v>
      </c>
      <c r="R34" s="12">
        <f>'TR TUSD'!$R$34*'TR TUSD'!$R$60</f>
        <v>14.184778271875496</v>
      </c>
      <c r="S34" s="12">
        <f>'TR TUSD'!$S$34*'TR TUSD'!$S$60</f>
        <v>0</v>
      </c>
      <c r="T34" s="12">
        <f ca="1">SUM($L$34:$S$34)</f>
        <v>104.54601083094911</v>
      </c>
      <c r="U34" s="12">
        <f>'TR TUSD'!$U$34*'TR TUSD'!$U$60</f>
        <v>0</v>
      </c>
      <c r="V34" s="12">
        <f>'TR TUSD'!$V$34*'TR TUSD'!$V$60</f>
        <v>0</v>
      </c>
      <c r="W34" s="12">
        <f>'TR TUSD'!$W$34*'TR TUSD'!$W$60</f>
        <v>0</v>
      </c>
      <c r="X34" s="12">
        <f>'TR TUSD'!$X$34*'TR TUSD'!$X$60</f>
        <v>0</v>
      </c>
      <c r="Y34" s="12">
        <f>'TR TUSD'!$Y$34*'TR TUSD'!$Y$60</f>
        <v>108.58212812200941</v>
      </c>
      <c r="Z34" s="12">
        <f>'TR TUSD'!$Z$34</f>
        <v>0</v>
      </c>
      <c r="AA34" s="12">
        <f>'TR TUSD'!$AA$34</f>
        <v>0</v>
      </c>
      <c r="AB34" s="12">
        <f>SUM($U$34:$AA$34)</f>
        <v>108.58212812200941</v>
      </c>
      <c r="AC34" s="12">
        <f>'TR TUSD'!$AC$34*'TR TUSD'!$AC$60</f>
        <v>388.78577237894388</v>
      </c>
      <c r="AD34" s="12">
        <f>SUM($AC$34:$AC$34)</f>
        <v>388.78577237894388</v>
      </c>
      <c r="AE34" s="12">
        <v>0</v>
      </c>
      <c r="AF34" s="12">
        <v>0</v>
      </c>
      <c r="AG34" s="12">
        <f>SUM($AE$34:$AF$34)</f>
        <v>0</v>
      </c>
      <c r="AH34" s="12">
        <f>'TR TUSD'!$AH$34*'TR TUSD'!$AH$60</f>
        <v>13.503490435755994</v>
      </c>
      <c r="AI34" s="12">
        <f>'TR TUSD'!$AI$34*'TR TUSD'!$AI$60</f>
        <v>0</v>
      </c>
      <c r="AJ34" s="12">
        <f ca="1">'TR TUSD'!$AJ$34*'TR TUSD'!$AJ$60</f>
        <v>0</v>
      </c>
      <c r="AK34" s="12">
        <f ca="1">'TR TUSD'!$AK$34*'TR TUSD'!$AK$60</f>
        <v>0</v>
      </c>
      <c r="AL34" s="12">
        <f ca="1">SUM($AH$34:$AK$34)</f>
        <v>13.503490435755994</v>
      </c>
      <c r="AM34" s="12">
        <f ca="1">SUMIF($L$4:$AL$4,"SUBTOTAL",$L$34:$AL$34)</f>
        <v>615.41740176765848</v>
      </c>
      <c r="AP34" s="12">
        <f>IF((1 - CUSTOS!$M$29)&lt;&gt;0,1/(1 - CUSTOS!$M$29),1)</f>
        <v>1</v>
      </c>
    </row>
    <row r="35" spans="1:42" ht="11.25" customHeight="1" x14ac:dyDescent="0.25">
      <c r="A35" s="108"/>
      <c r="B35" s="108"/>
      <c r="C35" s="108"/>
      <c r="D35" s="108"/>
      <c r="E35" s="108"/>
      <c r="F35" s="108"/>
      <c r="G35" s="17" t="s">
        <v>75</v>
      </c>
      <c r="H35" s="17" t="s">
        <v>63</v>
      </c>
      <c r="I35" s="17">
        <f>'MERCADO TUSD'!$U$32</f>
        <v>0</v>
      </c>
      <c r="J35" s="15"/>
      <c r="L35" s="12">
        <f>'TR TUSD'!$L$35*'TR TUSD'!$L$60</f>
        <v>0</v>
      </c>
      <c r="M35" s="12">
        <f>'TR TUSD'!$M$35*'TR TUSD'!$M$60</f>
        <v>0.59981511519652564</v>
      </c>
      <c r="N35" s="12">
        <f ca="1">'TR TUSD'!$N$35*'TR TUSD'!$N$60</f>
        <v>0</v>
      </c>
      <c r="O35" s="12">
        <f>'TR TUSD'!$O$35*'TR TUSD'!$O$60</f>
        <v>0</v>
      </c>
      <c r="P35" s="12">
        <f>'TR TUSD'!$P$35*'TR TUSD'!$P$60</f>
        <v>0</v>
      </c>
      <c r="Q35" s="12">
        <f>'TR TUSD'!$Q$35*'TR TUSD'!$Q$60</f>
        <v>89.761417443877093</v>
      </c>
      <c r="R35" s="12">
        <f>'TR TUSD'!$R$35*'TR TUSD'!$R$60</f>
        <v>14.184778271875496</v>
      </c>
      <c r="S35" s="12">
        <f>'TR TUSD'!$S$35*'TR TUSD'!$S$60</f>
        <v>0</v>
      </c>
      <c r="T35" s="12">
        <f ca="1">SUM($L$35:$S$35)</f>
        <v>104.54601083094911</v>
      </c>
      <c r="U35" s="12">
        <f>'TR TUSD'!$U$35*'TR TUSD'!$U$60</f>
        <v>0</v>
      </c>
      <c r="V35" s="12">
        <f>'TR TUSD'!$V$35*'TR TUSD'!$V$60</f>
        <v>0</v>
      </c>
      <c r="W35" s="12">
        <f>'TR TUSD'!$W$35*'TR TUSD'!$W$60</f>
        <v>0</v>
      </c>
      <c r="X35" s="12">
        <f>'TR TUSD'!$X$35*'TR TUSD'!$X$60</f>
        <v>0</v>
      </c>
      <c r="Y35" s="12">
        <f>'TR TUSD'!$Y$35*'TR TUSD'!$Y$60</f>
        <v>65.130534273414725</v>
      </c>
      <c r="Z35" s="12">
        <f>'TR TUSD'!$Z$35</f>
        <v>0</v>
      </c>
      <c r="AA35" s="12">
        <f>'TR TUSD'!$AA$35</f>
        <v>0</v>
      </c>
      <c r="AB35" s="12">
        <f>SUM($U$35:$AA$35)</f>
        <v>65.130534273414725</v>
      </c>
      <c r="AC35" s="12">
        <f>'TR TUSD'!$AC$35*'TR TUSD'!$AC$60</f>
        <v>233.27153058446649</v>
      </c>
      <c r="AD35" s="12">
        <f>SUM($AC$35:$AC$35)</f>
        <v>233.27153058446649</v>
      </c>
      <c r="AE35" s="12">
        <v>0</v>
      </c>
      <c r="AF35" s="12">
        <v>0</v>
      </c>
      <c r="AG35" s="12">
        <f>SUM($AE$35:$AF$35)</f>
        <v>0</v>
      </c>
      <c r="AH35" s="12">
        <f>'TR TUSD'!$AH$35*'TR TUSD'!$AH$60</f>
        <v>13.503490435755994</v>
      </c>
      <c r="AI35" s="12">
        <f>'TR TUSD'!$AI$35*'TR TUSD'!$AI$60</f>
        <v>0</v>
      </c>
      <c r="AJ35" s="12">
        <f ca="1">'TR TUSD'!$AJ$35*'TR TUSD'!$AJ$60</f>
        <v>0</v>
      </c>
      <c r="AK35" s="12">
        <f ca="1">'TR TUSD'!$AK$35*'TR TUSD'!$AK$60</f>
        <v>0</v>
      </c>
      <c r="AL35" s="12">
        <f ca="1">SUM($AH$35:$AK$35)</f>
        <v>13.503490435755994</v>
      </c>
      <c r="AM35" s="12">
        <f ca="1">SUMIF($L$4:$AL$4,"SUBTOTAL",$L$35:$AL$35)</f>
        <v>416.45156612458635</v>
      </c>
      <c r="AP35" s="12">
        <f>IF((1 - CUSTOS!$M$29)&lt;&gt;0,1/(1 - CUSTOS!$M$29),1)</f>
        <v>1</v>
      </c>
    </row>
    <row r="36" spans="1:42" ht="11.25" customHeight="1" x14ac:dyDescent="0.25">
      <c r="A36" s="108"/>
      <c r="B36" s="108"/>
      <c r="C36" s="108"/>
      <c r="D36" s="108"/>
      <c r="E36" s="108"/>
      <c r="F36" s="108"/>
      <c r="G36" s="17" t="s">
        <v>65</v>
      </c>
      <c r="H36" s="17" t="s">
        <v>63</v>
      </c>
      <c r="I36" s="17">
        <f>'MERCADO TUSD'!$U$33</f>
        <v>0</v>
      </c>
      <c r="J36" s="15"/>
      <c r="L36" s="12">
        <f>'TR TUSD'!$L$36*'TR TUSD'!$L$60</f>
        <v>0</v>
      </c>
      <c r="M36" s="12">
        <f>'TR TUSD'!$M$36*'TR TUSD'!$M$60</f>
        <v>0.59981511519652564</v>
      </c>
      <c r="N36" s="12">
        <f ca="1">'TR TUSD'!$N$36*'TR TUSD'!$N$60</f>
        <v>0</v>
      </c>
      <c r="O36" s="12">
        <f>'TR TUSD'!$O$36*'TR TUSD'!$O$60</f>
        <v>0</v>
      </c>
      <c r="P36" s="12">
        <f>'TR TUSD'!$P$36*'TR TUSD'!$P$60</f>
        <v>0</v>
      </c>
      <c r="Q36" s="12">
        <f>'TR TUSD'!$Q$36*'TR TUSD'!$Q$60</f>
        <v>89.761417443877093</v>
      </c>
      <c r="R36" s="12">
        <f>'TR TUSD'!$R$36*'TR TUSD'!$R$60</f>
        <v>14.184778271875496</v>
      </c>
      <c r="S36" s="12">
        <f>'TR TUSD'!$S$36*'TR TUSD'!$S$60</f>
        <v>0</v>
      </c>
      <c r="T36" s="12">
        <f ca="1">SUM($L$36:$S$36)</f>
        <v>104.54601083094911</v>
      </c>
      <c r="U36" s="12">
        <f>'TR TUSD'!$U$36*'TR TUSD'!$U$60</f>
        <v>0</v>
      </c>
      <c r="V36" s="12">
        <f>'TR TUSD'!$V$36*'TR TUSD'!$V$60</f>
        <v>0</v>
      </c>
      <c r="W36" s="12">
        <f>'TR TUSD'!$W$36*'TR TUSD'!$W$60</f>
        <v>0</v>
      </c>
      <c r="X36" s="12">
        <f>'TR TUSD'!$X$36*'TR TUSD'!$X$60</f>
        <v>0</v>
      </c>
      <c r="Y36" s="12">
        <f>'TR TUSD'!$Y$36*'TR TUSD'!$Y$60</f>
        <v>21.725796924297338</v>
      </c>
      <c r="Z36" s="12">
        <f>'TR TUSD'!$Z$36</f>
        <v>0</v>
      </c>
      <c r="AA36" s="12">
        <f>'TR TUSD'!$AA$36</f>
        <v>0</v>
      </c>
      <c r="AB36" s="12">
        <f>SUM($U$36:$AA$36)</f>
        <v>21.725796924297338</v>
      </c>
      <c r="AC36" s="12">
        <f>'TR TUSD'!$AC$36*'TR TUSD'!$AC$60</f>
        <v>77.757176861488816</v>
      </c>
      <c r="AD36" s="12">
        <f>SUM($AC$36:$AC$36)</f>
        <v>77.757176861488816</v>
      </c>
      <c r="AE36" s="12">
        <v>0</v>
      </c>
      <c r="AF36" s="12">
        <v>0</v>
      </c>
      <c r="AG36" s="12">
        <f>SUM($AE$36:$AF$36)</f>
        <v>0</v>
      </c>
      <c r="AH36" s="12">
        <f>'TR TUSD'!$AH$36*'TR TUSD'!$AH$60</f>
        <v>13.503490435755994</v>
      </c>
      <c r="AI36" s="12">
        <f>'TR TUSD'!$AI$36*'TR TUSD'!$AI$60</f>
        <v>0</v>
      </c>
      <c r="AJ36" s="12">
        <f ca="1">'TR TUSD'!$AJ$36*'TR TUSD'!$AJ$60</f>
        <v>0</v>
      </c>
      <c r="AK36" s="12">
        <f ca="1">'TR TUSD'!$AK$36*'TR TUSD'!$AK$60</f>
        <v>0</v>
      </c>
      <c r="AL36" s="12">
        <f ca="1">SUM($AH$36:$AK$36)</f>
        <v>13.503490435755994</v>
      </c>
      <c r="AM36" s="12">
        <f ca="1">SUMIF($L$4:$AL$4,"SUBTOTAL",$L$36:$AL$36)</f>
        <v>217.53247505249126</v>
      </c>
      <c r="AP36" s="12">
        <f>IF((1 - CUSTOS!$M$29)&lt;&gt;0,1/(1 - CUSTOS!$M$29),1)</f>
        <v>1</v>
      </c>
    </row>
    <row r="37" spans="1:42" ht="11.25" customHeight="1" x14ac:dyDescent="0.25">
      <c r="A37" s="108"/>
      <c r="B37" s="18" t="s">
        <v>23</v>
      </c>
      <c r="C37" s="18" t="s">
        <v>40</v>
      </c>
      <c r="D37" s="18" t="s">
        <v>80</v>
      </c>
      <c r="E37" s="18" t="s">
        <v>25</v>
      </c>
      <c r="F37" s="18" t="s">
        <v>25</v>
      </c>
      <c r="G37" s="17" t="s">
        <v>69</v>
      </c>
      <c r="H37" s="17" t="s">
        <v>63</v>
      </c>
      <c r="I37" s="17">
        <f>'MERCADO TUSD'!$U$34</f>
        <v>0</v>
      </c>
      <c r="J37" s="15"/>
      <c r="L37" s="12">
        <f>'TR TUSD'!$L$37*'TR TUSD'!$L$60</f>
        <v>0</v>
      </c>
      <c r="M37" s="12">
        <f>'TR TUSD'!$M$37*'TR TUSD'!$M$60</f>
        <v>0.59981511519652564</v>
      </c>
      <c r="N37" s="12">
        <f ca="1">'TR TUSD'!$N$37*'TR TUSD'!$N$60</f>
        <v>0</v>
      </c>
      <c r="O37" s="12">
        <f>'TR TUSD'!$O$37*'TR TUSD'!$O$60</f>
        <v>0</v>
      </c>
      <c r="P37" s="12">
        <f>'TR TUSD'!$P$37*'TR TUSD'!$P$60</f>
        <v>0</v>
      </c>
      <c r="Q37" s="12">
        <f>'TR TUSD'!$Q$37*'TR TUSD'!$Q$60</f>
        <v>89.761417443877093</v>
      </c>
      <c r="R37" s="12">
        <f>'TR TUSD'!$R$37*'TR TUSD'!$R$60</f>
        <v>14.184778271875496</v>
      </c>
      <c r="S37" s="12">
        <f>'TR TUSD'!$S$37*'TR TUSD'!$S$60</f>
        <v>0</v>
      </c>
      <c r="T37" s="12">
        <f ca="1">SUM($L$37:$S$37)</f>
        <v>104.54601083094911</v>
      </c>
      <c r="U37" s="12">
        <f>'TR TUSD'!$U$37*'TR TUSD'!$U$60</f>
        <v>0</v>
      </c>
      <c r="V37" s="12">
        <f>'TR TUSD'!$V$37*'TR TUSD'!$V$60</f>
        <v>0</v>
      </c>
      <c r="W37" s="12">
        <f>'TR TUSD'!$W$37*'TR TUSD'!$W$60</f>
        <v>0</v>
      </c>
      <c r="X37" s="12">
        <f>'TR TUSD'!$X$37*'TR TUSD'!$X$60</f>
        <v>0</v>
      </c>
      <c r="Y37" s="12">
        <f>'TR TUSD'!$Y$37*'TR TUSD'!$Y$60</f>
        <v>36.813589755980459</v>
      </c>
      <c r="Z37" s="12">
        <f>'TR TUSD'!$Z$37</f>
        <v>0</v>
      </c>
      <c r="AA37" s="12">
        <f>'TR TUSD'!$AA$37</f>
        <v>0</v>
      </c>
      <c r="AB37" s="12">
        <f>SUM($U$37:$AA$37)</f>
        <v>36.813589755980459</v>
      </c>
      <c r="AC37" s="12">
        <f>'TR TUSD'!$AC$37*'TR TUSD'!$AC$60</f>
        <v>131.79177965872671</v>
      </c>
      <c r="AD37" s="12">
        <f>SUM($AC$37:$AC$37)</f>
        <v>131.79177965872671</v>
      </c>
      <c r="AE37" s="12">
        <v>0</v>
      </c>
      <c r="AF37" s="12">
        <v>0</v>
      </c>
      <c r="AG37" s="12">
        <f>SUM($AE$37:$AF$37)</f>
        <v>0</v>
      </c>
      <c r="AH37" s="12">
        <f>'TR TUSD'!$AH$37*'TR TUSD'!$AH$60</f>
        <v>13.503490435755994</v>
      </c>
      <c r="AI37" s="12">
        <f>'TR TUSD'!$AI$37*'TR TUSD'!$AI$60</f>
        <v>0</v>
      </c>
      <c r="AJ37" s="12">
        <f ca="1">'TR TUSD'!$AJ$37*'TR TUSD'!$AJ$60</f>
        <v>0</v>
      </c>
      <c r="AK37" s="12">
        <f ca="1">'TR TUSD'!$AK$37*'TR TUSD'!$AK$60</f>
        <v>0</v>
      </c>
      <c r="AL37" s="12">
        <f ca="1">SUM($AH$37:$AK$37)</f>
        <v>13.503490435755994</v>
      </c>
      <c r="AM37" s="12">
        <f ca="1">SUMIF($L$4:$AL$4,"SUBTOTAL",$L$37:$AL$37)</f>
        <v>286.65487068141226</v>
      </c>
      <c r="AP37" s="12">
        <f>IF((1 - CUSTOS!$M$29)&lt;&gt;0,1/(1 - CUSTOS!$M$29),1)</f>
        <v>1</v>
      </c>
    </row>
    <row r="38" spans="1:42" ht="11.25" customHeight="1" x14ac:dyDescent="0.25">
      <c r="A38" s="108"/>
      <c r="B38" s="108" t="s">
        <v>77</v>
      </c>
      <c r="C38" s="108" t="s">
        <v>40</v>
      </c>
      <c r="D38" s="108" t="s">
        <v>81</v>
      </c>
      <c r="E38" s="108" t="s">
        <v>25</v>
      </c>
      <c r="F38" s="108" t="s">
        <v>25</v>
      </c>
      <c r="G38" s="17" t="s">
        <v>64</v>
      </c>
      <c r="H38" s="17" t="s">
        <v>63</v>
      </c>
      <c r="I38" s="17">
        <f>'MERCADO TUSD'!$U$35</f>
        <v>0</v>
      </c>
      <c r="J38" s="15"/>
      <c r="L38" s="12">
        <f>'TR TUSD'!$L$38*'TR TUSD'!$L$60</f>
        <v>0</v>
      </c>
      <c r="M38" s="12">
        <f>'TR TUSD'!$M$38*'TR TUSD'!$M$60</f>
        <v>0.59981511519652564</v>
      </c>
      <c r="N38" s="12">
        <f ca="1">'TR TUSD'!$N$38*'TR TUSD'!$N$60</f>
        <v>0</v>
      </c>
      <c r="O38" s="12">
        <f>'TR TUSD'!$O$38*'TR TUSD'!$O$60</f>
        <v>0</v>
      </c>
      <c r="P38" s="12">
        <f>'TR TUSD'!$P$38*'TR TUSD'!$P$60</f>
        <v>0</v>
      </c>
      <c r="Q38" s="12">
        <f>'TR TUSD'!$Q$38*'TR TUSD'!$Q$60</f>
        <v>89.761417443877093</v>
      </c>
      <c r="R38" s="12">
        <f>'TR TUSD'!$R$38*'TR TUSD'!$R$60</f>
        <v>14.184778271875496</v>
      </c>
      <c r="S38" s="12">
        <f>'TR TUSD'!$S$38*'TR TUSD'!$S$60</f>
        <v>0</v>
      </c>
      <c r="T38" s="12">
        <f ca="1">SUM($L$38:$S$38)</f>
        <v>104.54601083094911</v>
      </c>
      <c r="U38" s="12">
        <f>'TR TUSD'!$U$38*'TR TUSD'!$U$60</f>
        <v>0</v>
      </c>
      <c r="V38" s="12">
        <f>'TR TUSD'!$V$38*'TR TUSD'!$V$60</f>
        <v>0</v>
      </c>
      <c r="W38" s="12">
        <f>'TR TUSD'!$W$38*'TR TUSD'!$W$60</f>
        <v>0</v>
      </c>
      <c r="X38" s="12">
        <f>'TR TUSD'!$X$38*'TR TUSD'!$X$60</f>
        <v>0</v>
      </c>
      <c r="Y38" s="12">
        <f>'TR TUSD'!$Y$38*'TR TUSD'!$Y$60</f>
        <v>108.58212812200941</v>
      </c>
      <c r="Z38" s="12">
        <f>'TR TUSD'!$Z$38</f>
        <v>0</v>
      </c>
      <c r="AA38" s="12">
        <f>'TR TUSD'!$AA$38</f>
        <v>0</v>
      </c>
      <c r="AB38" s="12">
        <f>SUM($U$38:$AA$38)</f>
        <v>108.58212812200941</v>
      </c>
      <c r="AC38" s="12">
        <f>'TR TUSD'!$AC$38*'TR TUSD'!$AC$60</f>
        <v>388.78577237894388</v>
      </c>
      <c r="AD38" s="12">
        <f>SUM($AC$38:$AC$38)</f>
        <v>388.78577237894388</v>
      </c>
      <c r="AE38" s="12">
        <v>0</v>
      </c>
      <c r="AF38" s="12">
        <v>0</v>
      </c>
      <c r="AG38" s="12">
        <f>SUM($AE$38:$AF$38)</f>
        <v>0</v>
      </c>
      <c r="AH38" s="12">
        <f>'TR TUSD'!$AH$38*'TR TUSD'!$AH$60</f>
        <v>13.503490435755994</v>
      </c>
      <c r="AI38" s="12">
        <f>'TR TUSD'!$AI$38*'TR TUSD'!$AI$60</f>
        <v>0</v>
      </c>
      <c r="AJ38" s="12">
        <f ca="1">'TR TUSD'!$AJ$38*'TR TUSD'!$AJ$60</f>
        <v>0</v>
      </c>
      <c r="AK38" s="12">
        <f ca="1">'TR TUSD'!$AK$38*'TR TUSD'!$AK$60</f>
        <v>0</v>
      </c>
      <c r="AL38" s="12">
        <f ca="1">SUM($AH$38:$AK$38)</f>
        <v>13.503490435755994</v>
      </c>
      <c r="AM38" s="12">
        <f ca="1">SUMIF($L$4:$AL$4,"SUBTOTAL",$L$38:$AL$38)</f>
        <v>615.41740176765848</v>
      </c>
      <c r="AP38" s="12">
        <f>IF((1 - CUSTOS!$M$30)&lt;&gt;0,1/(1 - CUSTOS!$M$30),1)</f>
        <v>1</v>
      </c>
    </row>
    <row r="39" spans="1:42" ht="11.25" customHeight="1" x14ac:dyDescent="0.25">
      <c r="A39" s="108"/>
      <c r="B39" s="108"/>
      <c r="C39" s="108"/>
      <c r="D39" s="108"/>
      <c r="E39" s="108"/>
      <c r="F39" s="108"/>
      <c r="G39" s="17" t="s">
        <v>75</v>
      </c>
      <c r="H39" s="17" t="s">
        <v>63</v>
      </c>
      <c r="I39" s="17">
        <f>'MERCADO TUSD'!$U$36</f>
        <v>0</v>
      </c>
      <c r="J39" s="15"/>
      <c r="L39" s="12">
        <f>'TR TUSD'!$L$39*'TR TUSD'!$L$60</f>
        <v>0</v>
      </c>
      <c r="M39" s="12">
        <f>'TR TUSD'!$M$39*'TR TUSD'!$M$60</f>
        <v>0.59981511519652564</v>
      </c>
      <c r="N39" s="12">
        <f ca="1">'TR TUSD'!$N$39*'TR TUSD'!$N$60</f>
        <v>0</v>
      </c>
      <c r="O39" s="12">
        <f>'TR TUSD'!$O$39*'TR TUSD'!$O$60</f>
        <v>0</v>
      </c>
      <c r="P39" s="12">
        <f>'TR TUSD'!$P$39*'TR TUSD'!$P$60</f>
        <v>0</v>
      </c>
      <c r="Q39" s="12">
        <f>'TR TUSD'!$Q$39*'TR TUSD'!$Q$60</f>
        <v>89.761417443877093</v>
      </c>
      <c r="R39" s="12">
        <f>'TR TUSD'!$R$39*'TR TUSD'!$R$60</f>
        <v>14.184778271875496</v>
      </c>
      <c r="S39" s="12">
        <f>'TR TUSD'!$S$39*'TR TUSD'!$S$60</f>
        <v>0</v>
      </c>
      <c r="T39" s="12">
        <f ca="1">SUM($L$39:$S$39)</f>
        <v>104.54601083094911</v>
      </c>
      <c r="U39" s="12">
        <f>'TR TUSD'!$U$39*'TR TUSD'!$U$60</f>
        <v>0</v>
      </c>
      <c r="V39" s="12">
        <f>'TR TUSD'!$V$39*'TR TUSD'!$V$60</f>
        <v>0</v>
      </c>
      <c r="W39" s="12">
        <f>'TR TUSD'!$W$39*'TR TUSD'!$W$60</f>
        <v>0</v>
      </c>
      <c r="X39" s="12">
        <f>'TR TUSD'!$X$39*'TR TUSD'!$X$60</f>
        <v>0</v>
      </c>
      <c r="Y39" s="12">
        <f>'TR TUSD'!$Y$39*'TR TUSD'!$Y$60</f>
        <v>65.130534273414725</v>
      </c>
      <c r="Z39" s="12">
        <f>'TR TUSD'!$Z$39</f>
        <v>0</v>
      </c>
      <c r="AA39" s="12">
        <f>'TR TUSD'!$AA$39</f>
        <v>0</v>
      </c>
      <c r="AB39" s="12">
        <f>SUM($U$39:$AA$39)</f>
        <v>65.130534273414725</v>
      </c>
      <c r="AC39" s="12">
        <f>'TR TUSD'!$AC$39*'TR TUSD'!$AC$60</f>
        <v>233.27153058446649</v>
      </c>
      <c r="AD39" s="12">
        <f>SUM($AC$39:$AC$39)</f>
        <v>233.27153058446649</v>
      </c>
      <c r="AE39" s="12">
        <v>0</v>
      </c>
      <c r="AF39" s="12">
        <v>0</v>
      </c>
      <c r="AG39" s="12">
        <f>SUM($AE$39:$AF$39)</f>
        <v>0</v>
      </c>
      <c r="AH39" s="12">
        <f>'TR TUSD'!$AH$39*'TR TUSD'!$AH$60</f>
        <v>13.503490435755994</v>
      </c>
      <c r="AI39" s="12">
        <f>'TR TUSD'!$AI$39*'TR TUSD'!$AI$60</f>
        <v>0</v>
      </c>
      <c r="AJ39" s="12">
        <f ca="1">'TR TUSD'!$AJ$39*'TR TUSD'!$AJ$60</f>
        <v>0</v>
      </c>
      <c r="AK39" s="12">
        <f ca="1">'TR TUSD'!$AK$39*'TR TUSD'!$AK$60</f>
        <v>0</v>
      </c>
      <c r="AL39" s="12">
        <f ca="1">SUM($AH$39:$AK$39)</f>
        <v>13.503490435755994</v>
      </c>
      <c r="AM39" s="12">
        <f ca="1">SUMIF($L$4:$AL$4,"SUBTOTAL",$L$39:$AL$39)</f>
        <v>416.45156612458635</v>
      </c>
      <c r="AP39" s="12">
        <f>IF((1 - CUSTOS!$M$30)&lt;&gt;0,1/(1 - CUSTOS!$M$30),1)</f>
        <v>1</v>
      </c>
    </row>
    <row r="40" spans="1:42" ht="11.25" customHeight="1" x14ac:dyDescent="0.25">
      <c r="A40" s="108"/>
      <c r="B40" s="108"/>
      <c r="C40" s="108"/>
      <c r="D40" s="108"/>
      <c r="E40" s="108"/>
      <c r="F40" s="108"/>
      <c r="G40" s="17" t="s">
        <v>65</v>
      </c>
      <c r="H40" s="17" t="s">
        <v>63</v>
      </c>
      <c r="I40" s="17">
        <f>'MERCADO TUSD'!$U$37</f>
        <v>0</v>
      </c>
      <c r="J40" s="15"/>
      <c r="L40" s="12">
        <f>'TR TUSD'!$L$40*'TR TUSD'!$L$60</f>
        <v>0</v>
      </c>
      <c r="M40" s="12">
        <f>'TR TUSD'!$M$40*'TR TUSD'!$M$60</f>
        <v>0.59981511519652564</v>
      </c>
      <c r="N40" s="12">
        <f ca="1">'TR TUSD'!$N$40*'TR TUSD'!$N$60</f>
        <v>0</v>
      </c>
      <c r="O40" s="12">
        <f>'TR TUSD'!$O$40*'TR TUSD'!$O$60</f>
        <v>0</v>
      </c>
      <c r="P40" s="12">
        <f>'TR TUSD'!$P$40*'TR TUSD'!$P$60</f>
        <v>0</v>
      </c>
      <c r="Q40" s="12">
        <f>'TR TUSD'!$Q$40*'TR TUSD'!$Q$60</f>
        <v>89.761417443877093</v>
      </c>
      <c r="R40" s="12">
        <f>'TR TUSD'!$R$40*'TR TUSD'!$R$60</f>
        <v>14.184778271875496</v>
      </c>
      <c r="S40" s="12">
        <f>'TR TUSD'!$S$40*'TR TUSD'!$S$60</f>
        <v>0</v>
      </c>
      <c r="T40" s="12">
        <f ca="1">SUM($L$40:$S$40)</f>
        <v>104.54601083094911</v>
      </c>
      <c r="U40" s="12">
        <f>'TR TUSD'!$U$40*'TR TUSD'!$U$60</f>
        <v>0</v>
      </c>
      <c r="V40" s="12">
        <f>'TR TUSD'!$V$40*'TR TUSD'!$V$60</f>
        <v>0</v>
      </c>
      <c r="W40" s="12">
        <f>'TR TUSD'!$W$40*'TR TUSD'!$W$60</f>
        <v>0</v>
      </c>
      <c r="X40" s="12">
        <f>'TR TUSD'!$X$40*'TR TUSD'!$X$60</f>
        <v>0</v>
      </c>
      <c r="Y40" s="12">
        <f>'TR TUSD'!$Y$40*'TR TUSD'!$Y$60</f>
        <v>21.725796924297338</v>
      </c>
      <c r="Z40" s="12">
        <f>'TR TUSD'!$Z$40</f>
        <v>0</v>
      </c>
      <c r="AA40" s="12">
        <f>'TR TUSD'!$AA$40</f>
        <v>0</v>
      </c>
      <c r="AB40" s="12">
        <f>SUM($U$40:$AA$40)</f>
        <v>21.725796924297338</v>
      </c>
      <c r="AC40" s="12">
        <f>'TR TUSD'!$AC$40*'TR TUSD'!$AC$60</f>
        <v>77.757176861488816</v>
      </c>
      <c r="AD40" s="12">
        <f>SUM($AC$40:$AC$40)</f>
        <v>77.757176861488816</v>
      </c>
      <c r="AE40" s="12">
        <v>0</v>
      </c>
      <c r="AF40" s="12">
        <v>0</v>
      </c>
      <c r="AG40" s="12">
        <f>SUM($AE$40:$AF$40)</f>
        <v>0</v>
      </c>
      <c r="AH40" s="12">
        <f>'TR TUSD'!$AH$40*'TR TUSD'!$AH$60</f>
        <v>13.503490435755994</v>
      </c>
      <c r="AI40" s="12">
        <f>'TR TUSD'!$AI$40*'TR TUSD'!$AI$60</f>
        <v>0</v>
      </c>
      <c r="AJ40" s="12">
        <f ca="1">'TR TUSD'!$AJ$40*'TR TUSD'!$AJ$60</f>
        <v>0</v>
      </c>
      <c r="AK40" s="12">
        <f ca="1">'TR TUSD'!$AK$40*'TR TUSD'!$AK$60</f>
        <v>0</v>
      </c>
      <c r="AL40" s="12">
        <f ca="1">SUM($AH$40:$AK$40)</f>
        <v>13.503490435755994</v>
      </c>
      <c r="AM40" s="12">
        <f ca="1">SUMIF($L$4:$AL$4,"SUBTOTAL",$L$40:$AL$40)</f>
        <v>217.53247505249126</v>
      </c>
      <c r="AP40" s="12">
        <f>IF((1 - CUSTOS!$M$30)&lt;&gt;0,1/(1 - CUSTOS!$M$30),1)</f>
        <v>1</v>
      </c>
    </row>
    <row r="41" spans="1:42" ht="11.25" customHeight="1" x14ac:dyDescent="0.25">
      <c r="A41" s="108"/>
      <c r="B41" s="18" t="s">
        <v>23</v>
      </c>
      <c r="C41" s="18" t="s">
        <v>40</v>
      </c>
      <c r="D41" s="18" t="s">
        <v>81</v>
      </c>
      <c r="E41" s="18" t="s">
        <v>25</v>
      </c>
      <c r="F41" s="18" t="s">
        <v>25</v>
      </c>
      <c r="G41" s="17" t="s">
        <v>69</v>
      </c>
      <c r="H41" s="17" t="s">
        <v>63</v>
      </c>
      <c r="I41" s="17">
        <f>'MERCADO TUSD'!$U$38</f>
        <v>0</v>
      </c>
      <c r="J41" s="15"/>
      <c r="L41" s="12">
        <f>'TR TUSD'!$L$41*'TR TUSD'!$L$60</f>
        <v>0</v>
      </c>
      <c r="M41" s="12">
        <f>'TR TUSD'!$M$41*'TR TUSD'!$M$60</f>
        <v>0.59981511519652564</v>
      </c>
      <c r="N41" s="12">
        <f ca="1">'TR TUSD'!$N$41*'TR TUSD'!$N$60</f>
        <v>0</v>
      </c>
      <c r="O41" s="12">
        <f>'TR TUSD'!$O$41*'TR TUSD'!$O$60</f>
        <v>0</v>
      </c>
      <c r="P41" s="12">
        <f>'TR TUSD'!$P$41*'TR TUSD'!$P$60</f>
        <v>0</v>
      </c>
      <c r="Q41" s="12">
        <f>'TR TUSD'!$Q$41*'TR TUSD'!$Q$60</f>
        <v>89.761417443877093</v>
      </c>
      <c r="R41" s="12">
        <f>'TR TUSD'!$R$41*'TR TUSD'!$R$60</f>
        <v>14.184778271875496</v>
      </c>
      <c r="S41" s="12">
        <f>'TR TUSD'!$S$41*'TR TUSD'!$S$60</f>
        <v>0</v>
      </c>
      <c r="T41" s="12">
        <f ca="1">SUM($L$41:$S$41)</f>
        <v>104.54601083094911</v>
      </c>
      <c r="U41" s="12">
        <f>'TR TUSD'!$U$41*'TR TUSD'!$U$60</f>
        <v>0</v>
      </c>
      <c r="V41" s="12">
        <f>'TR TUSD'!$V$41*'TR TUSD'!$V$60</f>
        <v>0</v>
      </c>
      <c r="W41" s="12">
        <f>'TR TUSD'!$W$41*'TR TUSD'!$W$60</f>
        <v>0</v>
      </c>
      <c r="X41" s="12">
        <f>'TR TUSD'!$X$41*'TR TUSD'!$X$60</f>
        <v>0</v>
      </c>
      <c r="Y41" s="12">
        <f>'TR TUSD'!$Y$41*'TR TUSD'!$Y$60</f>
        <v>36.813589755980459</v>
      </c>
      <c r="Z41" s="12">
        <f>'TR TUSD'!$Z$41</f>
        <v>0</v>
      </c>
      <c r="AA41" s="12">
        <f>'TR TUSD'!$AA$41</f>
        <v>0</v>
      </c>
      <c r="AB41" s="12">
        <f>SUM($U$41:$AA$41)</f>
        <v>36.813589755980459</v>
      </c>
      <c r="AC41" s="12">
        <f>'TR TUSD'!$AC$41*'TR TUSD'!$AC$60</f>
        <v>131.79177965872671</v>
      </c>
      <c r="AD41" s="12">
        <f>SUM($AC$41:$AC$41)</f>
        <v>131.79177965872671</v>
      </c>
      <c r="AE41" s="12">
        <v>0</v>
      </c>
      <c r="AF41" s="12">
        <v>0</v>
      </c>
      <c r="AG41" s="12">
        <f>SUM($AE$41:$AF$41)</f>
        <v>0</v>
      </c>
      <c r="AH41" s="12">
        <f>'TR TUSD'!$AH$41*'TR TUSD'!$AH$60</f>
        <v>13.503490435755994</v>
      </c>
      <c r="AI41" s="12">
        <f>'TR TUSD'!$AI$41*'TR TUSD'!$AI$60</f>
        <v>0</v>
      </c>
      <c r="AJ41" s="12">
        <f ca="1">'TR TUSD'!$AJ$41*'TR TUSD'!$AJ$60</f>
        <v>0</v>
      </c>
      <c r="AK41" s="12">
        <f ca="1">'TR TUSD'!$AK$41*'TR TUSD'!$AK$60</f>
        <v>0</v>
      </c>
      <c r="AL41" s="12">
        <f ca="1">SUM($AH$41:$AK$41)</f>
        <v>13.503490435755994</v>
      </c>
      <c r="AM41" s="12">
        <f ca="1">SUMIF($L$4:$AL$4,"SUBTOTAL",$L$41:$AL$41)</f>
        <v>286.65487068141226</v>
      </c>
      <c r="AP41" s="12">
        <f>IF((1 - CUSTOS!$M$30)&lt;&gt;0,1/(1 - CUSTOS!$M$30),1)</f>
        <v>1</v>
      </c>
    </row>
    <row r="42" spans="1:42" ht="11.25" customHeight="1" x14ac:dyDescent="0.25">
      <c r="A42" s="108"/>
      <c r="B42" s="108" t="s">
        <v>79</v>
      </c>
      <c r="C42" s="108" t="s">
        <v>40</v>
      </c>
      <c r="D42" s="18" t="s">
        <v>25</v>
      </c>
      <c r="E42" s="18" t="s">
        <v>25</v>
      </c>
      <c r="F42" s="18" t="s">
        <v>25</v>
      </c>
      <c r="G42" s="17" t="s">
        <v>69</v>
      </c>
      <c r="H42" s="17" t="s">
        <v>63</v>
      </c>
      <c r="I42" s="17">
        <f>'MERCADO TUSD'!$U$39</f>
        <v>0</v>
      </c>
      <c r="J42" s="15"/>
      <c r="L42" s="12">
        <f>'TR TUSD'!$L$42*'TR TUSD'!$L$60</f>
        <v>0</v>
      </c>
      <c r="M42" s="12">
        <f>'TR TUSD'!$M$42*'TR TUSD'!$M$60</f>
        <v>0.59981511519652564</v>
      </c>
      <c r="N42" s="12">
        <f ca="1">'TR TUSD'!$N$42*'TR TUSD'!$N$60</f>
        <v>0</v>
      </c>
      <c r="O42" s="12">
        <f>'TR TUSD'!$O$42*'TR TUSD'!$O$60</f>
        <v>0</v>
      </c>
      <c r="P42" s="12">
        <f>'TR TUSD'!$P$42*'TR TUSD'!$P$60</f>
        <v>0</v>
      </c>
      <c r="Q42" s="12">
        <f>'TR TUSD'!$Q$42*'TR TUSD'!$Q$60</f>
        <v>89.761417443877093</v>
      </c>
      <c r="R42" s="12">
        <f>'TR TUSD'!$R$42*'TR TUSD'!$R$60</f>
        <v>14.184778271875496</v>
      </c>
      <c r="S42" s="12">
        <f>'TR TUSD'!$S$42*'TR TUSD'!$S$60</f>
        <v>0</v>
      </c>
      <c r="T42" s="12">
        <f ca="1">SUM($L$42:$S$42)</f>
        <v>104.54601083094911</v>
      </c>
      <c r="U42" s="12">
        <f>'TR TUSD'!$U$42*'TR TUSD'!$U$60</f>
        <v>0</v>
      </c>
      <c r="V42" s="12">
        <f>'TR TUSD'!$V$42*'TR TUSD'!$V$60</f>
        <v>0</v>
      </c>
      <c r="W42" s="12">
        <f>'TR TUSD'!$W$42*'TR TUSD'!$W$60</f>
        <v>0</v>
      </c>
      <c r="X42" s="12">
        <f>'TR TUSD'!$X$42*'TR TUSD'!$X$60</f>
        <v>0</v>
      </c>
      <c r="Y42" s="12">
        <f>'TR TUSD'!$Y$42*'TR TUSD'!$Y$60</f>
        <v>36.813589755980459</v>
      </c>
      <c r="Z42" s="12">
        <f>'TR TUSD'!$Z$42</f>
        <v>0</v>
      </c>
      <c r="AA42" s="12">
        <f>'TR TUSD'!$AA$42</f>
        <v>0</v>
      </c>
      <c r="AB42" s="12">
        <f>SUM($U$42:$AA$42)</f>
        <v>36.813589755980459</v>
      </c>
      <c r="AC42" s="12">
        <f>'TR TUSD'!$AC$42*'TR TUSD'!$AC$60</f>
        <v>131.79177965872671</v>
      </c>
      <c r="AD42" s="12">
        <f>SUM($AC$42:$AC$42)</f>
        <v>131.79177965872671</v>
      </c>
      <c r="AE42" s="12">
        <v>0</v>
      </c>
      <c r="AF42" s="12">
        <v>0</v>
      </c>
      <c r="AG42" s="12">
        <f>SUM($AE$42:$AF$42)</f>
        <v>0</v>
      </c>
      <c r="AH42" s="12">
        <f>'TR TUSD'!$AH$42*'TR TUSD'!$AH$60</f>
        <v>13.503490435755994</v>
      </c>
      <c r="AI42" s="12">
        <f>'TR TUSD'!$AI$42*'TR TUSD'!$AI$60</f>
        <v>0</v>
      </c>
      <c r="AJ42" s="12">
        <f ca="1">'TR TUSD'!$AJ$42*'TR TUSD'!$AJ$60</f>
        <v>0</v>
      </c>
      <c r="AK42" s="12">
        <f ca="1">'TR TUSD'!$AK$42*'TR TUSD'!$AK$60</f>
        <v>0</v>
      </c>
      <c r="AL42" s="12">
        <f ca="1">SUM($AH$42:$AK$42)</f>
        <v>13.503490435755994</v>
      </c>
      <c r="AM42" s="12">
        <f ca="1">SUMIF($L$4:$AL$4,"SUBTOTAL",$L$42:$AL$42)</f>
        <v>286.65487068141226</v>
      </c>
      <c r="AP42" s="12">
        <f>IF((1 - CUSTOS!$M$28)&lt;&gt;0,1/(1 - CUSTOS!$M$28),1)</f>
        <v>1</v>
      </c>
    </row>
    <row r="43" spans="1:42" ht="11.25" customHeight="1" x14ac:dyDescent="0.25">
      <c r="A43" s="108"/>
      <c r="B43" s="108"/>
      <c r="C43" s="108"/>
      <c r="D43" s="18" t="s">
        <v>80</v>
      </c>
      <c r="E43" s="18" t="s">
        <v>25</v>
      </c>
      <c r="F43" s="18" t="s">
        <v>25</v>
      </c>
      <c r="G43" s="17" t="s">
        <v>69</v>
      </c>
      <c r="H43" s="17" t="s">
        <v>63</v>
      </c>
      <c r="I43" s="17">
        <f>'MERCADO TUSD'!$U$40</f>
        <v>0</v>
      </c>
      <c r="J43" s="15"/>
      <c r="L43" s="12">
        <f>'TR TUSD'!$L$43*'TR TUSD'!$L$60</f>
        <v>0</v>
      </c>
      <c r="M43" s="12">
        <f>'TR TUSD'!$M$43*'TR TUSD'!$M$60</f>
        <v>0.59981511519652564</v>
      </c>
      <c r="N43" s="12">
        <f ca="1">'TR TUSD'!$N$43*'TR TUSD'!$N$60</f>
        <v>0</v>
      </c>
      <c r="O43" s="12">
        <f>'TR TUSD'!$O$43*'TR TUSD'!$O$60</f>
        <v>0</v>
      </c>
      <c r="P43" s="12">
        <f>'TR TUSD'!$P$43*'TR TUSD'!$P$60</f>
        <v>0</v>
      </c>
      <c r="Q43" s="12">
        <f>'TR TUSD'!$Q$43*'TR TUSD'!$Q$60</f>
        <v>89.761417443877093</v>
      </c>
      <c r="R43" s="12">
        <f>'TR TUSD'!$R$43*'TR TUSD'!$R$60</f>
        <v>14.184778271875496</v>
      </c>
      <c r="S43" s="12">
        <f>'TR TUSD'!$S$43*'TR TUSD'!$S$60</f>
        <v>0</v>
      </c>
      <c r="T43" s="12">
        <f ca="1">SUM($L$43:$S$43)</f>
        <v>104.54601083094911</v>
      </c>
      <c r="U43" s="12">
        <f>'TR TUSD'!$U$43*'TR TUSD'!$U$60</f>
        <v>0</v>
      </c>
      <c r="V43" s="12">
        <f>'TR TUSD'!$V$43*'TR TUSD'!$V$60</f>
        <v>0</v>
      </c>
      <c r="W43" s="12">
        <f>'TR TUSD'!$W$43*'TR TUSD'!$W$60</f>
        <v>0</v>
      </c>
      <c r="X43" s="12">
        <f>'TR TUSD'!$X$43*'TR TUSD'!$X$60</f>
        <v>0</v>
      </c>
      <c r="Y43" s="12">
        <f>'TR TUSD'!$Y$43*'TR TUSD'!$Y$60</f>
        <v>36.813589755980459</v>
      </c>
      <c r="Z43" s="12">
        <f>'TR TUSD'!$Z$43</f>
        <v>0</v>
      </c>
      <c r="AA43" s="12">
        <f>'TR TUSD'!$AA$43</f>
        <v>0</v>
      </c>
      <c r="AB43" s="12">
        <f>SUM($U$43:$AA$43)</f>
        <v>36.813589755980459</v>
      </c>
      <c r="AC43" s="12">
        <f>'TR TUSD'!$AC$43*'TR TUSD'!$AC$60</f>
        <v>131.79177965872671</v>
      </c>
      <c r="AD43" s="12">
        <f>SUM($AC$43:$AC$43)</f>
        <v>131.79177965872671</v>
      </c>
      <c r="AE43" s="12">
        <v>0</v>
      </c>
      <c r="AF43" s="12">
        <v>0</v>
      </c>
      <c r="AG43" s="12">
        <f>SUM($AE$43:$AF$43)</f>
        <v>0</v>
      </c>
      <c r="AH43" s="12">
        <f>'TR TUSD'!$AH$43*'TR TUSD'!$AH$60</f>
        <v>13.503490435755994</v>
      </c>
      <c r="AI43" s="12">
        <f>'TR TUSD'!$AI$43*'TR TUSD'!$AI$60</f>
        <v>0</v>
      </c>
      <c r="AJ43" s="12">
        <f ca="1">'TR TUSD'!$AJ$43*'TR TUSD'!$AJ$60</f>
        <v>0</v>
      </c>
      <c r="AK43" s="12">
        <f ca="1">'TR TUSD'!$AK$43*'TR TUSD'!$AK$60</f>
        <v>0</v>
      </c>
      <c r="AL43" s="12">
        <f ca="1">SUM($AH$43:$AK$43)</f>
        <v>13.503490435755994</v>
      </c>
      <c r="AM43" s="12">
        <f ca="1">SUMIF($L$4:$AL$4,"SUBTOTAL",$L$43:$AL$43)</f>
        <v>286.65487068141226</v>
      </c>
      <c r="AP43" s="12">
        <f>IF((1 - CUSTOS!$M$29)&lt;&gt;0,1/(1 - CUSTOS!$M$29),1)</f>
        <v>1</v>
      </c>
    </row>
    <row r="44" spans="1:42" ht="11.25" customHeight="1" x14ac:dyDescent="0.25">
      <c r="A44" s="108"/>
      <c r="B44" s="108"/>
      <c r="C44" s="108"/>
      <c r="D44" s="18" t="s">
        <v>81</v>
      </c>
      <c r="E44" s="18" t="s">
        <v>25</v>
      </c>
      <c r="F44" s="18" t="s">
        <v>25</v>
      </c>
      <c r="G44" s="17" t="s">
        <v>69</v>
      </c>
      <c r="H44" s="17" t="s">
        <v>63</v>
      </c>
      <c r="I44" s="17">
        <f>'MERCADO TUSD'!$U$41</f>
        <v>0</v>
      </c>
      <c r="J44" s="15"/>
      <c r="L44" s="12">
        <f>'TR TUSD'!$L$44*'TR TUSD'!$L$60</f>
        <v>0</v>
      </c>
      <c r="M44" s="12">
        <f>'TR TUSD'!$M$44*'TR TUSD'!$M$60</f>
        <v>0.59981511519652564</v>
      </c>
      <c r="N44" s="12">
        <f ca="1">'TR TUSD'!$N$44*'TR TUSD'!$N$60</f>
        <v>0</v>
      </c>
      <c r="O44" s="12">
        <f>'TR TUSD'!$O$44*'TR TUSD'!$O$60</f>
        <v>0</v>
      </c>
      <c r="P44" s="12">
        <f>'TR TUSD'!$P$44*'TR TUSD'!$P$60</f>
        <v>0</v>
      </c>
      <c r="Q44" s="12">
        <f>'TR TUSD'!$Q$44*'TR TUSD'!$Q$60</f>
        <v>89.761417443877093</v>
      </c>
      <c r="R44" s="12">
        <f>'TR TUSD'!$R$44*'TR TUSD'!$R$60</f>
        <v>14.184778271875496</v>
      </c>
      <c r="S44" s="12">
        <f>'TR TUSD'!$S$44*'TR TUSD'!$S$60</f>
        <v>0</v>
      </c>
      <c r="T44" s="12">
        <f ca="1">SUM($L$44:$S$44)</f>
        <v>104.54601083094911</v>
      </c>
      <c r="U44" s="12">
        <f>'TR TUSD'!$U$44*'TR TUSD'!$U$60</f>
        <v>0</v>
      </c>
      <c r="V44" s="12">
        <f>'TR TUSD'!$V$44*'TR TUSD'!$V$60</f>
        <v>0</v>
      </c>
      <c r="W44" s="12">
        <f>'TR TUSD'!$W$44*'TR TUSD'!$W$60</f>
        <v>0</v>
      </c>
      <c r="X44" s="12">
        <f>'TR TUSD'!$X$44*'TR TUSD'!$X$60</f>
        <v>0</v>
      </c>
      <c r="Y44" s="12">
        <f>'TR TUSD'!$Y$44*'TR TUSD'!$Y$60</f>
        <v>36.813589755980459</v>
      </c>
      <c r="Z44" s="12">
        <f>'TR TUSD'!$Z$44</f>
        <v>0</v>
      </c>
      <c r="AA44" s="12">
        <f>'TR TUSD'!$AA$44</f>
        <v>0</v>
      </c>
      <c r="AB44" s="12">
        <f>SUM($U$44:$AA$44)</f>
        <v>36.813589755980459</v>
      </c>
      <c r="AC44" s="12">
        <f>'TR TUSD'!$AC$44*'TR TUSD'!$AC$60</f>
        <v>131.79177965872671</v>
      </c>
      <c r="AD44" s="12">
        <f>SUM($AC$44:$AC$44)</f>
        <v>131.79177965872671</v>
      </c>
      <c r="AE44" s="12">
        <v>0</v>
      </c>
      <c r="AF44" s="12">
        <v>0</v>
      </c>
      <c r="AG44" s="12">
        <f>SUM($AE$44:$AF$44)</f>
        <v>0</v>
      </c>
      <c r="AH44" s="12">
        <f>'TR TUSD'!$AH$44*'TR TUSD'!$AH$60</f>
        <v>13.503490435755994</v>
      </c>
      <c r="AI44" s="12">
        <f>'TR TUSD'!$AI$44*'TR TUSD'!$AI$60</f>
        <v>0</v>
      </c>
      <c r="AJ44" s="12">
        <f ca="1">'TR TUSD'!$AJ$44*'TR TUSD'!$AJ$60</f>
        <v>0</v>
      </c>
      <c r="AK44" s="12">
        <f ca="1">'TR TUSD'!$AK$44*'TR TUSD'!$AK$60</f>
        <v>0</v>
      </c>
      <c r="AL44" s="12">
        <f ca="1">SUM($AH$44:$AK$44)</f>
        <v>13.503490435755994</v>
      </c>
      <c r="AM44" s="12">
        <f ca="1">SUMIF($L$4:$AL$4,"SUBTOTAL",$L$44:$AL$44)</f>
        <v>286.65487068141226</v>
      </c>
      <c r="AP44" s="12">
        <f>IF((1 - CUSTOS!$M$30)&lt;&gt;0,1/(1 - CUSTOS!$M$30),1)</f>
        <v>1</v>
      </c>
    </row>
    <row r="45" spans="1:42" ht="11.25" customHeight="1" x14ac:dyDescent="0.25">
      <c r="A45" s="108" t="s">
        <v>31</v>
      </c>
      <c r="B45" s="108" t="s">
        <v>77</v>
      </c>
      <c r="C45" s="108" t="s">
        <v>25</v>
      </c>
      <c r="D45" s="108" t="s">
        <v>25</v>
      </c>
      <c r="E45" s="108" t="s">
        <v>25</v>
      </c>
      <c r="F45" s="108" t="s">
        <v>25</v>
      </c>
      <c r="G45" s="17" t="s">
        <v>64</v>
      </c>
      <c r="H45" s="17" t="s">
        <v>63</v>
      </c>
      <c r="I45" s="17">
        <f>'MERCADO TUSD'!$U$42</f>
        <v>0</v>
      </c>
      <c r="J45" s="15"/>
      <c r="L45" s="12">
        <f>'TR TUSD'!$L$45*'TR TUSD'!$L$60</f>
        <v>0</v>
      </c>
      <c r="M45" s="12">
        <f>'TR TUSD'!$M$45*'TR TUSD'!$M$60</f>
        <v>0.59981511519652564</v>
      </c>
      <c r="N45" s="12">
        <f ca="1">'TR TUSD'!$N$45*'TR TUSD'!$N$60</f>
        <v>0</v>
      </c>
      <c r="O45" s="12">
        <f>'TR TUSD'!$O$45*'TR TUSD'!$O$60</f>
        <v>0</v>
      </c>
      <c r="P45" s="12">
        <f>'TR TUSD'!$P$45*'TR TUSD'!$P$60</f>
        <v>0</v>
      </c>
      <c r="Q45" s="12">
        <f>'TR TUSD'!$Q$45*'TR TUSD'!$Q$60</f>
        <v>89.761417443877093</v>
      </c>
      <c r="R45" s="12">
        <f>'TR TUSD'!$R$45*'TR TUSD'!$R$60</f>
        <v>14.184778271875496</v>
      </c>
      <c r="S45" s="12">
        <f>'TR TUSD'!$S$45*'TR TUSD'!$S$60</f>
        <v>0</v>
      </c>
      <c r="T45" s="12">
        <f ca="1">SUM($L$45:$S$45)</f>
        <v>104.54601083094911</v>
      </c>
      <c r="U45" s="12">
        <f>'TR TUSD'!$U$45*'TR TUSD'!$U$60</f>
        <v>0</v>
      </c>
      <c r="V45" s="12">
        <f>'TR TUSD'!$V$45*'TR TUSD'!$V$60</f>
        <v>0</v>
      </c>
      <c r="W45" s="12">
        <f>'TR TUSD'!$W$45*'TR TUSD'!$W$60</f>
        <v>0</v>
      </c>
      <c r="X45" s="12">
        <f>'TR TUSD'!$X$45*'TR TUSD'!$X$60</f>
        <v>0</v>
      </c>
      <c r="Y45" s="12">
        <f>'TR TUSD'!$Y$45*'TR TUSD'!$Y$60</f>
        <v>125.13809127064722</v>
      </c>
      <c r="Z45" s="12">
        <f>'TR TUSD'!$Z$45</f>
        <v>0</v>
      </c>
      <c r="AA45" s="12">
        <f>'TR TUSD'!$AA$45</f>
        <v>0</v>
      </c>
      <c r="AB45" s="12">
        <f>SUM($U$45:$AA$45)</f>
        <v>125.13809127064722</v>
      </c>
      <c r="AC45" s="12">
        <f>'TR TUSD'!$AC$45*'TR TUSD'!$AC$60</f>
        <v>448.09209561107093</v>
      </c>
      <c r="AD45" s="12">
        <f>SUM($AC$45:$AC$45)</f>
        <v>448.09209561107093</v>
      </c>
      <c r="AE45" s="12">
        <v>0</v>
      </c>
      <c r="AF45" s="12">
        <v>0</v>
      </c>
      <c r="AG45" s="12">
        <f>SUM($AE$45:$AF$45)</f>
        <v>0</v>
      </c>
      <c r="AH45" s="12">
        <f>'TR TUSD'!$AH$45*'TR TUSD'!$AH$60</f>
        <v>13.503490435755994</v>
      </c>
      <c r="AI45" s="12">
        <f>'TR TUSD'!$AI$45*'TR TUSD'!$AI$60</f>
        <v>0</v>
      </c>
      <c r="AJ45" s="12">
        <f ca="1">'TR TUSD'!$AJ$45*'TR TUSD'!$AJ$60</f>
        <v>0</v>
      </c>
      <c r="AK45" s="12">
        <f ca="1">'TR TUSD'!$AK$45*'TR TUSD'!$AK$60</f>
        <v>0</v>
      </c>
      <c r="AL45" s="12">
        <f ca="1">SUM($AH$45:$AK$45)</f>
        <v>13.503490435755994</v>
      </c>
      <c r="AM45" s="12">
        <f ca="1">SUMIF($L$4:$AL$4,"SUBTOTAL",$L$45:$AL$45)</f>
        <v>691.27968814842325</v>
      </c>
      <c r="AP45" s="12">
        <f>IF((1 - CUSTOS!$M$31)&lt;&gt;0,1/(1 - CUSTOS!$M$31),1)</f>
        <v>1</v>
      </c>
    </row>
    <row r="46" spans="1:42" ht="11.25" customHeight="1" x14ac:dyDescent="0.25">
      <c r="A46" s="108"/>
      <c r="B46" s="108"/>
      <c r="C46" s="108"/>
      <c r="D46" s="108"/>
      <c r="E46" s="108"/>
      <c r="F46" s="108"/>
      <c r="G46" s="17" t="s">
        <v>75</v>
      </c>
      <c r="H46" s="17" t="s">
        <v>63</v>
      </c>
      <c r="I46" s="17">
        <f>'MERCADO TUSD'!$U$43</f>
        <v>0</v>
      </c>
      <c r="J46" s="15"/>
      <c r="L46" s="12">
        <f>'TR TUSD'!$L$46*'TR TUSD'!$L$60</f>
        <v>0</v>
      </c>
      <c r="M46" s="12">
        <f>'TR TUSD'!$M$46*'TR TUSD'!$M$60</f>
        <v>0.59981511519652564</v>
      </c>
      <c r="N46" s="12">
        <f ca="1">'TR TUSD'!$N$46*'TR TUSD'!$N$60</f>
        <v>0</v>
      </c>
      <c r="O46" s="12">
        <f>'TR TUSD'!$O$46*'TR TUSD'!$O$60</f>
        <v>0</v>
      </c>
      <c r="P46" s="12">
        <f>'TR TUSD'!$P$46*'TR TUSD'!$P$60</f>
        <v>0</v>
      </c>
      <c r="Q46" s="12">
        <f>'TR TUSD'!$Q$46*'TR TUSD'!$Q$60</f>
        <v>89.761417443877093</v>
      </c>
      <c r="R46" s="12">
        <f>'TR TUSD'!$R$46*'TR TUSD'!$R$60</f>
        <v>14.184778271875496</v>
      </c>
      <c r="S46" s="12">
        <f>'TR TUSD'!$S$46*'TR TUSD'!$S$60</f>
        <v>0</v>
      </c>
      <c r="T46" s="12">
        <f ca="1">SUM($L$46:$S$46)</f>
        <v>104.54601083094911</v>
      </c>
      <c r="U46" s="12">
        <f>'TR TUSD'!$U$46*'TR TUSD'!$U$60</f>
        <v>0</v>
      </c>
      <c r="V46" s="12">
        <f>'TR TUSD'!$V$46*'TR TUSD'!$V$60</f>
        <v>0</v>
      </c>
      <c r="W46" s="12">
        <f>'TR TUSD'!$W$46*'TR TUSD'!$W$60</f>
        <v>0</v>
      </c>
      <c r="X46" s="12">
        <f>'TR TUSD'!$X$46*'TR TUSD'!$X$60</f>
        <v>0</v>
      </c>
      <c r="Y46" s="12">
        <f>'TR TUSD'!$Y$46*'TR TUSD'!$Y$60</f>
        <v>75.079730995756506</v>
      </c>
      <c r="Z46" s="12">
        <f>'TR TUSD'!$Z$46</f>
        <v>0</v>
      </c>
      <c r="AA46" s="12">
        <f>'TR TUSD'!$AA$46</f>
        <v>0</v>
      </c>
      <c r="AB46" s="12">
        <f>SUM($U$46:$AA$46)</f>
        <v>75.079730995756506</v>
      </c>
      <c r="AC46" s="12">
        <f>'TR TUSD'!$AC$46*'TR TUSD'!$AC$60</f>
        <v>268.8552797523426</v>
      </c>
      <c r="AD46" s="12">
        <f>SUM($AC$46:$AC$46)</f>
        <v>268.8552797523426</v>
      </c>
      <c r="AE46" s="12">
        <v>0</v>
      </c>
      <c r="AF46" s="12">
        <v>0</v>
      </c>
      <c r="AG46" s="12">
        <f>SUM($AE$46:$AF$46)</f>
        <v>0</v>
      </c>
      <c r="AH46" s="12">
        <f>'TR TUSD'!$AH$46*'TR TUSD'!$AH$60</f>
        <v>13.503490435755994</v>
      </c>
      <c r="AI46" s="12">
        <f>'TR TUSD'!$AI$46*'TR TUSD'!$AI$60</f>
        <v>0</v>
      </c>
      <c r="AJ46" s="12">
        <f ca="1">'TR TUSD'!$AJ$46*'TR TUSD'!$AJ$60</f>
        <v>0</v>
      </c>
      <c r="AK46" s="12">
        <f ca="1">'TR TUSD'!$AK$46*'TR TUSD'!$AK$60</f>
        <v>0</v>
      </c>
      <c r="AL46" s="12">
        <f ca="1">SUM($AH$46:$AK$46)</f>
        <v>13.503490435755994</v>
      </c>
      <c r="AM46" s="12">
        <f ca="1">SUMIF($L$4:$AL$4,"SUBTOTAL",$L$46:$AL$46)</f>
        <v>461.98451201480424</v>
      </c>
      <c r="AP46" s="12">
        <f>IF((1 - CUSTOS!$M$31)&lt;&gt;0,1/(1 - CUSTOS!$M$31),1)</f>
        <v>1</v>
      </c>
    </row>
    <row r="47" spans="1:42" ht="11.25" customHeight="1" x14ac:dyDescent="0.25">
      <c r="A47" s="108"/>
      <c r="B47" s="108"/>
      <c r="C47" s="108"/>
      <c r="D47" s="108"/>
      <c r="E47" s="108"/>
      <c r="F47" s="108"/>
      <c r="G47" s="17" t="s">
        <v>65</v>
      </c>
      <c r="H47" s="17" t="s">
        <v>63</v>
      </c>
      <c r="I47" s="17">
        <f>'MERCADO TUSD'!$U$44</f>
        <v>0</v>
      </c>
      <c r="J47" s="15"/>
      <c r="L47" s="12">
        <f>'TR TUSD'!$L$47*'TR TUSD'!$L$60</f>
        <v>0</v>
      </c>
      <c r="M47" s="12">
        <f>'TR TUSD'!$M$47*'TR TUSD'!$M$60</f>
        <v>0.59981511519652564</v>
      </c>
      <c r="N47" s="12">
        <f ca="1">'TR TUSD'!$N$47*'TR TUSD'!$N$60</f>
        <v>0</v>
      </c>
      <c r="O47" s="12">
        <f>'TR TUSD'!$O$47*'TR TUSD'!$O$60</f>
        <v>0</v>
      </c>
      <c r="P47" s="12">
        <f>'TR TUSD'!$P$47*'TR TUSD'!$P$60</f>
        <v>0</v>
      </c>
      <c r="Q47" s="12">
        <f>'TR TUSD'!$Q$47*'TR TUSD'!$Q$60</f>
        <v>89.761417443877093</v>
      </c>
      <c r="R47" s="12">
        <f>'TR TUSD'!$R$47*'TR TUSD'!$R$60</f>
        <v>14.184778271875496</v>
      </c>
      <c r="S47" s="12">
        <f>'TR TUSD'!$S$47*'TR TUSD'!$S$60</f>
        <v>0</v>
      </c>
      <c r="T47" s="12">
        <f ca="1">SUM($L$47:$S$47)</f>
        <v>104.54601083094911</v>
      </c>
      <c r="U47" s="12">
        <f>'TR TUSD'!$U$47*'TR TUSD'!$U$60</f>
        <v>0</v>
      </c>
      <c r="V47" s="12">
        <f>'TR TUSD'!$V$47*'TR TUSD'!$V$60</f>
        <v>0</v>
      </c>
      <c r="W47" s="12">
        <f>'TR TUSD'!$W$47*'TR TUSD'!$W$60</f>
        <v>0</v>
      </c>
      <c r="X47" s="12">
        <f>'TR TUSD'!$X$47*'TR TUSD'!$X$60</f>
        <v>0</v>
      </c>
      <c r="Y47" s="12">
        <f>'TR TUSD'!$Y$47*'TR TUSD'!$Y$60</f>
        <v>25.036989554024899</v>
      </c>
      <c r="Z47" s="12">
        <f>'TR TUSD'!$Z$47</f>
        <v>0</v>
      </c>
      <c r="AA47" s="12">
        <f>'TR TUSD'!$AA$47</f>
        <v>0</v>
      </c>
      <c r="AB47" s="12">
        <f>SUM($U$47:$AA$47)</f>
        <v>25.036989554024899</v>
      </c>
      <c r="AC47" s="12">
        <f>'TR TUSD'!$AC$47*'TR TUSD'!$AC$60</f>
        <v>89.61846389361429</v>
      </c>
      <c r="AD47" s="12">
        <f>SUM($AC$47:$AC$47)</f>
        <v>89.61846389361429</v>
      </c>
      <c r="AE47" s="12">
        <v>0</v>
      </c>
      <c r="AF47" s="12">
        <v>0</v>
      </c>
      <c r="AG47" s="12">
        <f>SUM($AE$47:$AF$47)</f>
        <v>0</v>
      </c>
      <c r="AH47" s="12">
        <f>'TR TUSD'!$AH$47*'TR TUSD'!$AH$60</f>
        <v>13.503490435755994</v>
      </c>
      <c r="AI47" s="12">
        <f>'TR TUSD'!$AI$47*'TR TUSD'!$AI$60</f>
        <v>0</v>
      </c>
      <c r="AJ47" s="12">
        <f ca="1">'TR TUSD'!$AJ$47*'TR TUSD'!$AJ$60</f>
        <v>0</v>
      </c>
      <c r="AK47" s="12">
        <f ca="1">'TR TUSD'!$AK$47*'TR TUSD'!$AK$60</f>
        <v>0</v>
      </c>
      <c r="AL47" s="12">
        <f ca="1">SUM($AH$47:$AK$47)</f>
        <v>13.503490435755994</v>
      </c>
      <c r="AM47" s="12">
        <f ca="1">SUMIF($L$4:$AL$4,"SUBTOTAL",$L$47:$AL$47)</f>
        <v>232.7049547143443</v>
      </c>
      <c r="AP47" s="12">
        <f>IF((1 - CUSTOS!$M$31)&lt;&gt;0,1/(1 - CUSTOS!$M$31),1)</f>
        <v>1</v>
      </c>
    </row>
    <row r="48" spans="1:42" ht="11.25" customHeight="1" x14ac:dyDescent="0.25">
      <c r="A48" s="108"/>
      <c r="B48" s="18" t="s">
        <v>23</v>
      </c>
      <c r="C48" s="18" t="s">
        <v>25</v>
      </c>
      <c r="D48" s="18" t="s">
        <v>25</v>
      </c>
      <c r="E48" s="18" t="s">
        <v>25</v>
      </c>
      <c r="F48" s="18" t="s">
        <v>25</v>
      </c>
      <c r="G48" s="17" t="s">
        <v>69</v>
      </c>
      <c r="H48" s="17" t="s">
        <v>63</v>
      </c>
      <c r="I48" s="17">
        <f>'MERCADO TUSD'!$U$45</f>
        <v>1376.9240000000002</v>
      </c>
      <c r="J48" s="15"/>
      <c r="L48" s="12">
        <f>'TR TUSD'!$L$48*'TR TUSD'!$L$60</f>
        <v>0</v>
      </c>
      <c r="M48" s="12">
        <f>'TR TUSD'!$M$48*'TR TUSD'!$M$60</f>
        <v>0.59981511519652564</v>
      </c>
      <c r="N48" s="12">
        <f ca="1">'TR TUSD'!$N$48*'TR TUSD'!$N$60</f>
        <v>0</v>
      </c>
      <c r="O48" s="12">
        <f>'TR TUSD'!$O$48*'TR TUSD'!$O$60</f>
        <v>0</v>
      </c>
      <c r="P48" s="12">
        <f>'TR TUSD'!$P$48*'TR TUSD'!$P$60</f>
        <v>0</v>
      </c>
      <c r="Q48" s="12">
        <f>'TR TUSD'!$Q$48*'TR TUSD'!$Q$60</f>
        <v>89.761417443877093</v>
      </c>
      <c r="R48" s="12">
        <f>'TR TUSD'!$R$48*'TR TUSD'!$R$60</f>
        <v>14.184778271875496</v>
      </c>
      <c r="S48" s="12">
        <f>'TR TUSD'!$S$48*'TR TUSD'!$S$60</f>
        <v>0</v>
      </c>
      <c r="T48" s="12">
        <f ca="1">SUM($L$48:$S$48)</f>
        <v>104.54601083094911</v>
      </c>
      <c r="U48" s="12">
        <f>'TR TUSD'!$U$48*'TR TUSD'!$U$60</f>
        <v>0</v>
      </c>
      <c r="V48" s="12">
        <f>'TR TUSD'!$V$48*'TR TUSD'!$V$60</f>
        <v>0</v>
      </c>
      <c r="W48" s="12">
        <f>'TR TUSD'!$W$48*'TR TUSD'!$W$60</f>
        <v>0</v>
      </c>
      <c r="X48" s="12">
        <f>'TR TUSD'!$X$48*'TR TUSD'!$X$60</f>
        <v>0</v>
      </c>
      <c r="Y48" s="12">
        <f>'TR TUSD'!$Y$48*'TR TUSD'!$Y$60</f>
        <v>36.813589755980459</v>
      </c>
      <c r="Z48" s="12">
        <f>'TR TUSD'!$Z$48</f>
        <v>0</v>
      </c>
      <c r="AA48" s="12">
        <f>'TR TUSD'!$AA$48</f>
        <v>0</v>
      </c>
      <c r="AB48" s="12">
        <f>SUM($U$48:$AA$48)</f>
        <v>36.813589755980459</v>
      </c>
      <c r="AC48" s="12">
        <f>'TR TUSD'!$AC$48*'TR TUSD'!$AC$60</f>
        <v>131.79177965872671</v>
      </c>
      <c r="AD48" s="12">
        <f>SUM($AC$48:$AC$48)</f>
        <v>131.79177965872671</v>
      </c>
      <c r="AE48" s="12">
        <v>0</v>
      </c>
      <c r="AF48" s="12">
        <v>0</v>
      </c>
      <c r="AG48" s="12">
        <f>SUM($AE$48:$AF$48)</f>
        <v>0</v>
      </c>
      <c r="AH48" s="12">
        <f>'TR TUSD'!$AH$48*'TR TUSD'!$AH$60</f>
        <v>13.503490435755994</v>
      </c>
      <c r="AI48" s="12">
        <f>'TR TUSD'!$AI$48*'TR TUSD'!$AI$60</f>
        <v>0</v>
      </c>
      <c r="AJ48" s="12">
        <f ca="1">'TR TUSD'!$AJ$48*'TR TUSD'!$AJ$60</f>
        <v>0</v>
      </c>
      <c r="AK48" s="12">
        <f ca="1">'TR TUSD'!$AK$48*'TR TUSD'!$AK$60</f>
        <v>0</v>
      </c>
      <c r="AL48" s="12">
        <f ca="1">SUM($AH$48:$AK$48)</f>
        <v>13.503490435755994</v>
      </c>
      <c r="AM48" s="12">
        <f ca="1">SUMIF($L$4:$AL$4,"SUBTOTAL",$L$48:$AL$48)</f>
        <v>286.65487068141226</v>
      </c>
      <c r="AP48" s="12">
        <f>IF((1 - CUSTOS!$M$31)&lt;&gt;0,1/(1 - CUSTOS!$M$31),1)</f>
        <v>1</v>
      </c>
    </row>
    <row r="49" spans="1:42" ht="11.25" customHeight="1" x14ac:dyDescent="0.25">
      <c r="A49" s="108"/>
      <c r="B49" s="18" t="s">
        <v>79</v>
      </c>
      <c r="C49" s="18" t="s">
        <v>25</v>
      </c>
      <c r="D49" s="18" t="s">
        <v>25</v>
      </c>
      <c r="E49" s="18" t="s">
        <v>25</v>
      </c>
      <c r="F49" s="18" t="s">
        <v>25</v>
      </c>
      <c r="G49" s="17" t="s">
        <v>69</v>
      </c>
      <c r="H49" s="17" t="s">
        <v>63</v>
      </c>
      <c r="I49" s="17">
        <f>'MERCADO TUSD'!$U$46</f>
        <v>0</v>
      </c>
      <c r="J49" s="15"/>
      <c r="L49" s="12">
        <f>'TR TUSD'!$L$49*'TR TUSD'!$L$60</f>
        <v>0</v>
      </c>
      <c r="M49" s="12">
        <f>'TR TUSD'!$M$49*'TR TUSD'!$M$60</f>
        <v>0.59981511519652564</v>
      </c>
      <c r="N49" s="12">
        <f ca="1">'TR TUSD'!$N$49*'TR TUSD'!$N$60</f>
        <v>0</v>
      </c>
      <c r="O49" s="12">
        <f>'TR TUSD'!$O$49*'TR TUSD'!$O$60</f>
        <v>0</v>
      </c>
      <c r="P49" s="12">
        <f>'TR TUSD'!$P$49*'TR TUSD'!$P$60</f>
        <v>0</v>
      </c>
      <c r="Q49" s="12">
        <f>'TR TUSD'!$Q$49*'TR TUSD'!$Q$60</f>
        <v>89.761417443877093</v>
      </c>
      <c r="R49" s="12">
        <f>'TR TUSD'!$R$49*'TR TUSD'!$R$60</f>
        <v>14.184778271875496</v>
      </c>
      <c r="S49" s="12">
        <f>'TR TUSD'!$S$49*'TR TUSD'!$S$60</f>
        <v>0</v>
      </c>
      <c r="T49" s="12">
        <f ca="1">SUM($L$49:$S$49)</f>
        <v>104.54601083094911</v>
      </c>
      <c r="U49" s="12">
        <f>'TR TUSD'!$U$49*'TR TUSD'!$U$60</f>
        <v>0</v>
      </c>
      <c r="V49" s="12">
        <f>'TR TUSD'!$V$49*'TR TUSD'!$V$60</f>
        <v>0</v>
      </c>
      <c r="W49" s="12">
        <f>'TR TUSD'!$W$49*'TR TUSD'!$W$60</f>
        <v>0</v>
      </c>
      <c r="X49" s="12">
        <f>'TR TUSD'!$X$49*'TR TUSD'!$X$60</f>
        <v>0</v>
      </c>
      <c r="Y49" s="12">
        <f>'TR TUSD'!$Y$49*'TR TUSD'!$Y$60</f>
        <v>36.813589755980459</v>
      </c>
      <c r="Z49" s="12">
        <f>'TR TUSD'!$Z$49</f>
        <v>0</v>
      </c>
      <c r="AA49" s="12">
        <f>'TR TUSD'!$AA$49</f>
        <v>0</v>
      </c>
      <c r="AB49" s="12">
        <f>SUM($U$49:$AA$49)</f>
        <v>36.813589755980459</v>
      </c>
      <c r="AC49" s="12">
        <f>'TR TUSD'!$AC$49*'TR TUSD'!$AC$60</f>
        <v>131.79177965872671</v>
      </c>
      <c r="AD49" s="12">
        <f>SUM($AC$49:$AC$49)</f>
        <v>131.79177965872671</v>
      </c>
      <c r="AE49" s="12">
        <v>0</v>
      </c>
      <c r="AF49" s="12">
        <v>0</v>
      </c>
      <c r="AG49" s="12">
        <f>SUM($AE$49:$AF$49)</f>
        <v>0</v>
      </c>
      <c r="AH49" s="12">
        <f>'TR TUSD'!$AH$49*'TR TUSD'!$AH$60</f>
        <v>13.503490435755994</v>
      </c>
      <c r="AI49" s="12">
        <f>'TR TUSD'!$AI$49*'TR TUSD'!$AI$60</f>
        <v>0</v>
      </c>
      <c r="AJ49" s="12">
        <f ca="1">'TR TUSD'!$AJ$49*'TR TUSD'!$AJ$60</f>
        <v>0</v>
      </c>
      <c r="AK49" s="12">
        <f ca="1">'TR TUSD'!$AK$49*'TR TUSD'!$AK$60</f>
        <v>0</v>
      </c>
      <c r="AL49" s="12">
        <f ca="1">SUM($AH$49:$AK$49)</f>
        <v>13.503490435755994</v>
      </c>
      <c r="AM49" s="12">
        <f ca="1">SUMIF($L$4:$AL$4,"SUBTOTAL",$L$49:$AL$49)</f>
        <v>286.65487068141226</v>
      </c>
      <c r="AP49" s="12">
        <f>IF((1 - CUSTOS!$M$31)&lt;&gt;0,1/(1 - CUSTOS!$M$31),1)</f>
        <v>1</v>
      </c>
    </row>
    <row r="50" spans="1:42" ht="11.25" customHeight="1" x14ac:dyDescent="0.25">
      <c r="A50" s="108" t="s">
        <v>42</v>
      </c>
      <c r="B50" s="108" t="s">
        <v>23</v>
      </c>
      <c r="C50" s="108" t="s">
        <v>43</v>
      </c>
      <c r="D50" s="18" t="s">
        <v>82</v>
      </c>
      <c r="E50" s="18" t="s">
        <v>25</v>
      </c>
      <c r="F50" s="18" t="s">
        <v>25</v>
      </c>
      <c r="G50" s="17" t="s">
        <v>69</v>
      </c>
      <c r="H50" s="17" t="s">
        <v>63</v>
      </c>
      <c r="I50" s="17">
        <f>'MERCADO TUSD'!$U$47</f>
        <v>0</v>
      </c>
      <c r="J50" s="15"/>
      <c r="L50" s="12">
        <f>'TR TUSD'!$L$50*'TR TUSD'!$L$60</f>
        <v>0</v>
      </c>
      <c r="M50" s="12">
        <f>'TR TUSD'!$M$50*'TR TUSD'!$M$60</f>
        <v>0.32989831335808911</v>
      </c>
      <c r="N50" s="12">
        <f ca="1">'TR TUSD'!$N$50*'TR TUSD'!$N$60</f>
        <v>0</v>
      </c>
      <c r="O50" s="12">
        <f>'TR TUSD'!$O$50*'TR TUSD'!$O$60</f>
        <v>0</v>
      </c>
      <c r="P50" s="12">
        <f>'TR TUSD'!$P$50*'TR TUSD'!$P$60</f>
        <v>0</v>
      </c>
      <c r="Q50" s="12">
        <f>'TR TUSD'!$Q$50*'TR TUSD'!$Q$60</f>
        <v>49.368779594132405</v>
      </c>
      <c r="R50" s="12">
        <f>'TR TUSD'!$R$50*'TR TUSD'!$R$60</f>
        <v>7.8016280495315238</v>
      </c>
      <c r="S50" s="12">
        <f>'TR TUSD'!$S$50*'TR TUSD'!$S$60</f>
        <v>0</v>
      </c>
      <c r="T50" s="12">
        <f ca="1">SUM($L$50:$S$50)</f>
        <v>57.500305957022015</v>
      </c>
      <c r="U50" s="12">
        <f>'TR TUSD'!$U$50*'TR TUSD'!$U$60</f>
        <v>0</v>
      </c>
      <c r="V50" s="12">
        <f>'TR TUSD'!$V$50*'TR TUSD'!$V$60</f>
        <v>0</v>
      </c>
      <c r="W50" s="12">
        <f>'TR TUSD'!$W$50*'TR TUSD'!$W$60</f>
        <v>0</v>
      </c>
      <c r="X50" s="12">
        <f>'TR TUSD'!$X$50*'TR TUSD'!$X$60</f>
        <v>0</v>
      </c>
      <c r="Y50" s="12">
        <f>'TR TUSD'!$Y$50*'TR TUSD'!$Y$60</f>
        <v>20.247474365789255</v>
      </c>
      <c r="Z50" s="12">
        <f>'TR TUSD'!$Z$50</f>
        <v>0</v>
      </c>
      <c r="AA50" s="12">
        <f>'TR TUSD'!$AA$50</f>
        <v>0</v>
      </c>
      <c r="AB50" s="12">
        <f>SUM($U$50:$AA$50)</f>
        <v>20.247474365789255</v>
      </c>
      <c r="AC50" s="12">
        <f>'TR TUSD'!$AC$50*'TR TUSD'!$AC$60</f>
        <v>72.485478812299689</v>
      </c>
      <c r="AD50" s="12">
        <f>SUM($AC$50:$AC$50)</f>
        <v>72.485478812299689</v>
      </c>
      <c r="AE50" s="12">
        <v>0</v>
      </c>
      <c r="AF50" s="12">
        <v>0</v>
      </c>
      <c r="AG50" s="12">
        <f>SUM($AE$50:$AF$50)</f>
        <v>0</v>
      </c>
      <c r="AH50" s="12">
        <f>'TR TUSD'!$AH$50*'TR TUSD'!$AH$60</f>
        <v>7.4269197396657969</v>
      </c>
      <c r="AI50" s="12">
        <f>'TR TUSD'!$AI$50*'TR TUSD'!$AI$60</f>
        <v>0</v>
      </c>
      <c r="AJ50" s="12">
        <f ca="1">'TR TUSD'!$AJ$50*'TR TUSD'!$AJ$60</f>
        <v>0</v>
      </c>
      <c r="AK50" s="12">
        <f ca="1">'TR TUSD'!$AK$50*'TR TUSD'!$AK$60</f>
        <v>0</v>
      </c>
      <c r="AL50" s="12">
        <f ca="1">SUM($AH$50:$AK$50)</f>
        <v>7.4269197396657969</v>
      </c>
      <c r="AM50" s="12">
        <f ca="1">SUMIF($L$4:$AL$4,"SUBTOTAL",$L$50:$AL$50)</f>
        <v>157.66017887477676</v>
      </c>
      <c r="AP50" s="12">
        <f>IF((1 - CUSTOS!$M$32)&lt;&gt;0,1/(1 - CUSTOS!$M$32),1)</f>
        <v>1.8181818181818181</v>
      </c>
    </row>
    <row r="51" spans="1:42" ht="11.25" customHeight="1" x14ac:dyDescent="0.25">
      <c r="A51" s="108"/>
      <c r="B51" s="108"/>
      <c r="C51" s="108"/>
      <c r="D51" s="17" t="s">
        <v>44</v>
      </c>
      <c r="E51" s="17" t="s">
        <v>25</v>
      </c>
      <c r="F51" s="17" t="s">
        <v>25</v>
      </c>
      <c r="G51" s="17" t="s">
        <v>69</v>
      </c>
      <c r="H51" s="17" t="s">
        <v>63</v>
      </c>
      <c r="I51" s="17">
        <f>'MERCADO TUSD'!$U$48</f>
        <v>547.28399999999988</v>
      </c>
      <c r="J51" s="15"/>
      <c r="L51" s="12">
        <f>'TR TUSD'!$L$51*'TR TUSD'!$L$60</f>
        <v>0</v>
      </c>
      <c r="M51" s="12">
        <f>'TR TUSD'!$M$51*'TR TUSD'!$M$60</f>
        <v>0.35988906911791535</v>
      </c>
      <c r="N51" s="12">
        <f ca="1">'TR TUSD'!$N$51*'TR TUSD'!$N$60</f>
        <v>0</v>
      </c>
      <c r="O51" s="12">
        <f>'TR TUSD'!$O$51*'TR TUSD'!$O$60</f>
        <v>0</v>
      </c>
      <c r="P51" s="12">
        <f>'TR TUSD'!$P$51*'TR TUSD'!$P$60</f>
        <v>0</v>
      </c>
      <c r="Q51" s="12">
        <f>'TR TUSD'!$Q$51*'TR TUSD'!$Q$60</f>
        <v>53.856850466326257</v>
      </c>
      <c r="R51" s="12">
        <f>'TR TUSD'!$R$51*'TR TUSD'!$R$60</f>
        <v>8.5108669631252969</v>
      </c>
      <c r="S51" s="12">
        <f>'TR TUSD'!$S$51*'TR TUSD'!$S$60</f>
        <v>0</v>
      </c>
      <c r="T51" s="12">
        <f ca="1">SUM($L$51:$S$51)</f>
        <v>62.727606498569465</v>
      </c>
      <c r="U51" s="12">
        <f>'TR TUSD'!$U$51*'TR TUSD'!$U$60</f>
        <v>0</v>
      </c>
      <c r="V51" s="12">
        <f>'TR TUSD'!$V$51*'TR TUSD'!$V$60</f>
        <v>0</v>
      </c>
      <c r="W51" s="12">
        <f>'TR TUSD'!$W$51*'TR TUSD'!$W$60</f>
        <v>0</v>
      </c>
      <c r="X51" s="12">
        <f>'TR TUSD'!$X$51*'TR TUSD'!$X$60</f>
        <v>0</v>
      </c>
      <c r="Y51" s="12">
        <f>'TR TUSD'!$Y$51*'TR TUSD'!$Y$60</f>
        <v>22.088153853588278</v>
      </c>
      <c r="Z51" s="12">
        <f>'TR TUSD'!$Z$51</f>
        <v>0</v>
      </c>
      <c r="AA51" s="12">
        <f>'TR TUSD'!$AA$51</f>
        <v>0</v>
      </c>
      <c r="AB51" s="12">
        <f>SUM($U$51:$AA$51)</f>
        <v>22.088153853588278</v>
      </c>
      <c r="AC51" s="12">
        <f>'TR TUSD'!$AC$51*'TR TUSD'!$AC$60</f>
        <v>79.075067795236009</v>
      </c>
      <c r="AD51" s="12">
        <f>SUM($AC$51:$AC$51)</f>
        <v>79.075067795236009</v>
      </c>
      <c r="AE51" s="12">
        <v>0</v>
      </c>
      <c r="AF51" s="12">
        <v>0</v>
      </c>
      <c r="AG51" s="12">
        <f>SUM($AE$51:$AF$51)</f>
        <v>0</v>
      </c>
      <c r="AH51" s="12">
        <f>'TR TUSD'!$AH$51*'TR TUSD'!$AH$60</f>
        <v>8.1020942614535958</v>
      </c>
      <c r="AI51" s="12">
        <f>'TR TUSD'!$AI$51*'TR TUSD'!$AI$60</f>
        <v>0</v>
      </c>
      <c r="AJ51" s="12">
        <f ca="1">'TR TUSD'!$AJ$51*'TR TUSD'!$AJ$60</f>
        <v>0</v>
      </c>
      <c r="AK51" s="12">
        <f ca="1">'TR TUSD'!$AK$51*'TR TUSD'!$AK$60</f>
        <v>0</v>
      </c>
      <c r="AL51" s="12">
        <f ca="1">SUM($AH$51:$AK$51)</f>
        <v>8.1020942614535958</v>
      </c>
      <c r="AM51" s="12">
        <f ca="1">SUMIF($L$4:$AL$4,"SUBTOTAL",$L$51:$AL$51)</f>
        <v>171.99292240884733</v>
      </c>
      <c r="AP51" s="12">
        <f>IF((1 - CUSTOS!$M$33)&lt;&gt;0,1/(1 - CUSTOS!$M$33),1)</f>
        <v>1.6666666666666667</v>
      </c>
    </row>
    <row r="53" spans="1:42" ht="11.25" customHeight="1" x14ac:dyDescent="0.25">
      <c r="K53" s="16" t="s">
        <v>432</v>
      </c>
      <c r="L53" s="12">
        <f>SUMPRODUCT($I$5:$I51,$L$5:$L51)</f>
        <v>0</v>
      </c>
      <c r="M53" s="12">
        <f>SUMPRODUCT($I$5:$I51,$M$5:$M51)</f>
        <v>20528.077865070933</v>
      </c>
      <c r="N53" s="12">
        <f ca="1">SUMPRODUCT($I$5:$I51,$N$5:$N51)</f>
        <v>0</v>
      </c>
      <c r="O53" s="12">
        <f>SUMPRODUCT($I$5:$I51,$O$5:$O51)</f>
        <v>0</v>
      </c>
      <c r="P53" s="12">
        <f>SUMPRODUCT($I$5:$I51,$P$5:$P51)</f>
        <v>0</v>
      </c>
      <c r="Q53" s="12">
        <f>SUMPRODUCT($I$5:$I51,$Q$5:$Q51)</f>
        <v>4334434.3109399993</v>
      </c>
      <c r="R53" s="12">
        <f>SUMPRODUCT($I$5:$I51,$R$5:$R51)</f>
        <v>800993.75328000018</v>
      </c>
      <c r="S53" s="12">
        <f>SUMPRODUCT($I$5:$I51,$S$5:$S51)</f>
        <v>0</v>
      </c>
      <c r="T53" s="12">
        <f ca="1">SUMPRODUCT($I$5:$I51,$T$5:$T51)</f>
        <v>5155956.1420850717</v>
      </c>
      <c r="U53" s="12">
        <f>SUMPRODUCT($I$5:$I51,$U$5:$U51)</f>
        <v>0</v>
      </c>
      <c r="V53" s="12">
        <f>SUMPRODUCT($I$5:$I51,$V$5:$V51)</f>
        <v>0</v>
      </c>
      <c r="W53" s="12">
        <f>SUMPRODUCT($I$5:$I51,$W$5:$W51)</f>
        <v>0</v>
      </c>
      <c r="X53" s="12">
        <f>SUMPRODUCT($I$5:$I51,$X$5:$X51)</f>
        <v>0</v>
      </c>
      <c r="Y53" s="12">
        <f>SUMPRODUCT($I$5:$I51,$Y$5:$Y51)</f>
        <v>2156133.9775</v>
      </c>
      <c r="Z53" s="12">
        <f>SUMPRODUCT($I$5:$I51,$Z$5:$Z51)</f>
        <v>0</v>
      </c>
      <c r="AA53" s="12">
        <f>SUMPRODUCT($I$5:$I51,$AA$5:$AA51)</f>
        <v>0</v>
      </c>
      <c r="AB53" s="12">
        <f>SUMPRODUCT($I$5:$I51,$AB$5:$AB51)</f>
        <v>2156133.9775</v>
      </c>
      <c r="AC53" s="12">
        <f>SUMPRODUCT($I$5:$I51,$AC$5:$AC51)</f>
        <v>4510443.0453111213</v>
      </c>
      <c r="AD53" s="12">
        <f>SUMPRODUCT($I$5:$I51,$AD$5:$AD51)</f>
        <v>4510443.0453111213</v>
      </c>
      <c r="AE53" s="12">
        <f>SUMPRODUCT($I$5:$I51,$AE$5:$AE51)</f>
        <v>0</v>
      </c>
      <c r="AF53" s="12">
        <f>SUMPRODUCT($I$5:$I51,$AF$5:$AF51)</f>
        <v>0</v>
      </c>
      <c r="AG53" s="12">
        <f>SUMPRODUCT($I$5:$I51,$AG$5:$AG51)</f>
        <v>0</v>
      </c>
      <c r="AH53" s="12">
        <f>SUMPRODUCT($I$5:$I51,$AH$5:$AH51)</f>
        <v>418128.09351266437</v>
      </c>
      <c r="AI53" s="12">
        <f>SUMPRODUCT($I$5:$I51,$AI$5:$AI51)</f>
        <v>0</v>
      </c>
      <c r="AJ53" s="12">
        <f ca="1">SUMPRODUCT($I$5:$I51,$AJ$5:$AJ51)</f>
        <v>0</v>
      </c>
      <c r="AK53" s="12">
        <f ca="1">SUMPRODUCT($I$5:$I51,$AK$5:$AK51)</f>
        <v>0</v>
      </c>
      <c r="AL53" s="12">
        <f ca="1">SUMPRODUCT($I$5:$I51,$AL$5:$AL51)</f>
        <v>418128.09351266437</v>
      </c>
      <c r="AM53" s="12">
        <f ca="1">SUMPRODUCT($I$5:$I51,$AM$5:$AM51)</f>
        <v>12240661.258408859</v>
      </c>
    </row>
    <row r="54" spans="1:42" ht="11.25" customHeight="1" x14ac:dyDescent="0.25">
      <c r="K54" s="16" t="s">
        <v>364</v>
      </c>
      <c r="L54" s="12">
        <f>'TR TUSD'!$L$56</f>
        <v>0</v>
      </c>
      <c r="M54" s="12">
        <f>'TR TUSD'!$M$56</f>
        <v>20528.077865070933</v>
      </c>
      <c r="N54" s="12">
        <f>'TR TUSD'!$N$56</f>
        <v>0</v>
      </c>
      <c r="O54" s="12">
        <f>'TR TUSD'!$O$56</f>
        <v>0</v>
      </c>
      <c r="P54" s="12">
        <f>'TR TUSD'!$P$56</f>
        <v>0</v>
      </c>
      <c r="Q54" s="12">
        <f>'TR TUSD'!$Q$56</f>
        <v>4334434.3109400002</v>
      </c>
      <c r="R54" s="12">
        <f>'TR TUSD'!$R$56</f>
        <v>800993.75328000018</v>
      </c>
      <c r="S54" s="12">
        <f>'TR TUSD'!$S$56</f>
        <v>0</v>
      </c>
      <c r="T54" s="12">
        <f>'TR TUSD'!$T$56</f>
        <v>5155956.1420850707</v>
      </c>
      <c r="U54" s="12">
        <f>'TR TUSD'!$U$56</f>
        <v>0</v>
      </c>
      <c r="V54" s="12">
        <f>'TR TUSD'!$V$56</f>
        <v>0</v>
      </c>
      <c r="W54" s="12">
        <f>'TR TUSD'!$W$56</f>
        <v>0</v>
      </c>
      <c r="X54" s="12">
        <f>'TR TUSD'!$X$56</f>
        <v>0</v>
      </c>
      <c r="Y54" s="12">
        <f>'TR TUSD'!$Y$56</f>
        <v>2156133.9775</v>
      </c>
      <c r="Z54" s="12">
        <f>'TR TUSD'!$Z$56</f>
        <v>0</v>
      </c>
      <c r="AA54" s="12">
        <f>'TR TUSD'!$AA$56</f>
        <v>0</v>
      </c>
      <c r="AB54" s="12">
        <f>'TR TUSD'!$AB$56</f>
        <v>2156133.9775</v>
      </c>
      <c r="AC54" s="12">
        <f>'TR TUSD'!$AC$56</f>
        <v>4510443.0453111222</v>
      </c>
      <c r="AD54" s="12">
        <f>'TR TUSD'!$AD$56</f>
        <v>4510443.0453111222</v>
      </c>
      <c r="AE54" s="12">
        <f>'TR TUSD'!$AE$56</f>
        <v>0</v>
      </c>
      <c r="AF54" s="12">
        <f>'TR TUSD'!$AF$56</f>
        <v>0</v>
      </c>
      <c r="AG54" s="12">
        <f>'TR TUSD'!$AG$56</f>
        <v>0</v>
      </c>
      <c r="AH54" s="12">
        <f>'TR TUSD'!$AH$56</f>
        <v>418128.09351266426</v>
      </c>
      <c r="AI54" s="12">
        <f>'TR TUSD'!$AI$56</f>
        <v>0</v>
      </c>
      <c r="AJ54" s="12">
        <f>'TR TUSD'!$AJ$56</f>
        <v>0</v>
      </c>
      <c r="AK54" s="12">
        <f>'TR TUSD'!$AK$56</f>
        <v>0</v>
      </c>
      <c r="AL54" s="12">
        <f>'TR TUSD'!$AL$56</f>
        <v>418128.09351266426</v>
      </c>
      <c r="AM54" s="12">
        <f>CUSTOS!$D$29</f>
        <v>12240661.258408858</v>
      </c>
    </row>
    <row r="55" spans="1:42" ht="11.25" customHeight="1" x14ac:dyDescent="0.25">
      <c r="K55" s="16" t="s">
        <v>365</v>
      </c>
      <c r="L55" s="12">
        <f>CUSTOS!$E$2</f>
        <v>0</v>
      </c>
      <c r="M55" s="12">
        <f>CUSTOS!$E$3</f>
        <v>-265.52917760075673</v>
      </c>
      <c r="N55" s="12">
        <f>CUSTOS!$E$4</f>
        <v>0</v>
      </c>
      <c r="O55" s="12">
        <f>CUSTOS!$E$5</f>
        <v>0</v>
      </c>
      <c r="P55" s="12">
        <f>CUSTOS!$E$6</f>
        <v>0</v>
      </c>
      <c r="Q55" s="12">
        <f>CUSTOS!$E$7</f>
        <v>-48767.209514869857</v>
      </c>
      <c r="R55" s="12">
        <f>CUSTOS!$E$8</f>
        <v>-8700.7586157352198</v>
      </c>
      <c r="S55" s="12">
        <f>CUSTOS!$E$9</f>
        <v>0</v>
      </c>
      <c r="T55" s="12">
        <f>CUSTOS!$E$10</f>
        <v>-57733.497308205835</v>
      </c>
      <c r="U55" s="12">
        <f>CUSTOS!$E$11</f>
        <v>0</v>
      </c>
      <c r="V55" s="12">
        <f>CUSTOS!$E$12</f>
        <v>0</v>
      </c>
      <c r="W55" s="12">
        <f>CUSTOS!$E$13</f>
        <v>0</v>
      </c>
      <c r="X55" s="12">
        <f>CUSTOS!$E$14</f>
        <v>0</v>
      </c>
      <c r="Y55" s="12">
        <f>CUSTOS!$E$15</f>
        <v>63610.411416400762</v>
      </c>
      <c r="Z55" s="12">
        <f>CUSTOS!$E$16</f>
        <v>0</v>
      </c>
      <c r="AA55" s="12">
        <f>CUSTOS!$E$17</f>
        <v>0</v>
      </c>
      <c r="AB55" s="12">
        <f>CUSTOS!$E$18</f>
        <v>63610.411416400762</v>
      </c>
      <c r="AC55" s="12">
        <f>CUSTOS!$E$19</f>
        <v>0</v>
      </c>
      <c r="AD55" s="12">
        <f>CUSTOS!$E$20</f>
        <v>0</v>
      </c>
      <c r="AE55" s="12">
        <f>CUSTOS!$E$21</f>
        <v>-305197.71894690522</v>
      </c>
      <c r="AF55" s="12">
        <f>CUSTOS!$E$22</f>
        <v>0</v>
      </c>
      <c r="AG55" s="12">
        <f>CUSTOS!$E$23</f>
        <v>-305197.71894690522</v>
      </c>
      <c r="AH55" s="12">
        <f>CUSTOS!$E$24</f>
        <v>3428.6835292660935</v>
      </c>
      <c r="AI55" s="12">
        <f>CUSTOS!$E$25</f>
        <v>0</v>
      </c>
      <c r="AJ55" s="12">
        <f>CUSTOS!$E$26</f>
        <v>0</v>
      </c>
      <c r="AK55" s="12">
        <f>CUSTOS!$E$27</f>
        <v>0</v>
      </c>
      <c r="AL55" s="12">
        <f>CUSTOS!$E$28</f>
        <v>3428.6835292660935</v>
      </c>
      <c r="AM55" s="12">
        <f>CUSTOS!$E$29</f>
        <v>-295892.12130944419</v>
      </c>
    </row>
    <row r="56" spans="1:42" ht="11.25" customHeight="1" x14ac:dyDescent="0.25">
      <c r="K56" s="16" t="s">
        <v>366</v>
      </c>
      <c r="L56" s="12">
        <f>CUSTOS!$F$2</f>
        <v>0</v>
      </c>
      <c r="M56" s="12">
        <f>CUSTOS!$F$3</f>
        <v>0</v>
      </c>
      <c r="N56" s="12">
        <f>CUSTOS!$F$4</f>
        <v>0</v>
      </c>
      <c r="O56" s="12">
        <f>CUSTOS!$F$5</f>
        <v>0</v>
      </c>
      <c r="P56" s="12">
        <f>CUSTOS!$F$6</f>
        <v>0</v>
      </c>
      <c r="Q56" s="12">
        <f>CUSTOS!$F$7</f>
        <v>0</v>
      </c>
      <c r="R56" s="12">
        <f>CUSTOS!$F$8</f>
        <v>0</v>
      </c>
      <c r="S56" s="12">
        <f>CUSTOS!$F$9</f>
        <v>0</v>
      </c>
      <c r="T56" s="12">
        <f>CUSTOS!$F$10</f>
        <v>0</v>
      </c>
      <c r="U56" s="12">
        <f>CUSTOS!$F$11</f>
        <v>0</v>
      </c>
      <c r="V56" s="12">
        <f>CUSTOS!$F$12</f>
        <v>0</v>
      </c>
      <c r="W56" s="12">
        <f>CUSTOS!$F$13</f>
        <v>0</v>
      </c>
      <c r="X56" s="12">
        <f>CUSTOS!$F$14</f>
        <v>0</v>
      </c>
      <c r="Y56" s="12">
        <f>CUSTOS!$F$15</f>
        <v>0</v>
      </c>
      <c r="Z56" s="12">
        <f>CUSTOS!$F$16</f>
        <v>0</v>
      </c>
      <c r="AA56" s="12">
        <f>CUSTOS!$F$17</f>
        <v>0</v>
      </c>
      <c r="AB56" s="12">
        <f>CUSTOS!$F$18</f>
        <v>0</v>
      </c>
      <c r="AC56" s="12">
        <f>CUSTOS!$F$19</f>
        <v>0</v>
      </c>
      <c r="AD56" s="12">
        <f>CUSTOS!$F$20</f>
        <v>0</v>
      </c>
      <c r="AE56" s="12">
        <f>CUSTOS!$F$21</f>
        <v>0</v>
      </c>
      <c r="AF56" s="12">
        <f>CUSTOS!$F$22</f>
        <v>0</v>
      </c>
      <c r="AG56" s="12">
        <f>CUSTOS!$F$23</f>
        <v>0</v>
      </c>
      <c r="AH56" s="12">
        <f>CUSTOS!$F$24</f>
        <v>0</v>
      </c>
      <c r="AI56" s="12">
        <f>CUSTOS!$F$25</f>
        <v>0</v>
      </c>
      <c r="AJ56" s="12">
        <f>CUSTOS!$F$26</f>
        <v>0</v>
      </c>
      <c r="AK56" s="12">
        <f>CUSTOS!$F$27</f>
        <v>0</v>
      </c>
      <c r="AL56" s="12">
        <f>CUSTOS!$F$28</f>
        <v>0</v>
      </c>
      <c r="AM56" s="12">
        <f>CUSTOS!$F$29</f>
        <v>0</v>
      </c>
    </row>
    <row r="57" spans="1:42" ht="11.25" customHeight="1" x14ac:dyDescent="0.25">
      <c r="K57" s="16" t="s">
        <v>429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f>SUM($L$57:$S$57)</f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f>SUM($U$57:$AA$57)</f>
        <v>0</v>
      </c>
      <c r="AC57" s="12">
        <v>0</v>
      </c>
      <c r="AD57" s="12">
        <f>SUM($AC$57:$AC$57)</f>
        <v>0</v>
      </c>
      <c r="AE57" s="12">
        <v>0</v>
      </c>
      <c r="AF57" s="12">
        <v>0</v>
      </c>
      <c r="AG57" s="12">
        <f>SUM($AE$57:$AF$57)</f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f>SUM($AH$57:$AK$57)</f>
        <v>0</v>
      </c>
      <c r="AM57" s="12">
        <f>SUMIF($L$4:$AL$4,"SUBTOTAL",$L$57:$AL$57)</f>
        <v>0</v>
      </c>
    </row>
    <row r="58" spans="1:42" ht="11.25" customHeight="1" x14ac:dyDescent="0.25">
      <c r="K58" s="16" t="s">
        <v>433</v>
      </c>
      <c r="L58" s="12">
        <f t="shared" ref="L58:R58" si="0">IF((L53-(0))&lt;&gt;0,(L55)/(L53-(0)),0)</f>
        <v>0</v>
      </c>
      <c r="M58" s="12">
        <f t="shared" si="0"/>
        <v>-1.2934926462480038E-2</v>
      </c>
      <c r="N58" s="12">
        <f t="shared" ca="1" si="0"/>
        <v>0</v>
      </c>
      <c r="O58" s="12">
        <f t="shared" si="0"/>
        <v>0</v>
      </c>
      <c r="P58" s="12">
        <f t="shared" si="0"/>
        <v>0</v>
      </c>
      <c r="Q58" s="12">
        <f t="shared" si="0"/>
        <v>-1.1251112836520026E-2</v>
      </c>
      <c r="R58" s="12">
        <f t="shared" si="0"/>
        <v>-1.0862455019288684E-2</v>
      </c>
      <c r="S58" s="12">
        <f>IF((R53-(0)&lt;&gt;0),(S55)/(R53-(0)),0)</f>
        <v>0</v>
      </c>
      <c r="T58" s="12"/>
      <c r="U58" s="12">
        <f t="shared" ref="U58:AA58" si="1">IF((U53-(0))&lt;&gt;0,(U55)/(U53-(0)),0)</f>
        <v>0</v>
      </c>
      <c r="V58" s="12">
        <f t="shared" si="1"/>
        <v>0</v>
      </c>
      <c r="W58" s="12">
        <f t="shared" si="1"/>
        <v>0</v>
      </c>
      <c r="X58" s="12">
        <f t="shared" si="1"/>
        <v>0</v>
      </c>
      <c r="Y58" s="12">
        <f t="shared" si="1"/>
        <v>2.9502068090479207E-2</v>
      </c>
      <c r="Z58" s="12">
        <f t="shared" si="1"/>
        <v>0</v>
      </c>
      <c r="AA58" s="12">
        <f t="shared" si="1"/>
        <v>0</v>
      </c>
      <c r="AB58" s="12"/>
      <c r="AC58" s="12">
        <f>IF((AC53-(0))&lt;&gt;0,(AC55)/(AC53-(0)),0)</f>
        <v>0</v>
      </c>
      <c r="AD58" s="12"/>
      <c r="AE58" s="12">
        <f ca="1">IF(($AM53-(0))&lt;&gt;0,(AE55)/($AM53-(0)),0)</f>
        <v>-2.4933107166677473E-2</v>
      </c>
      <c r="AF58" s="12">
        <f ca="1">IF(($AM53-(0))&lt;&gt;0,(AF55)/($AM53-(0)),0)</f>
        <v>0</v>
      </c>
      <c r="AG58" s="12"/>
      <c r="AH58" s="12">
        <f>IF((AH53-(0))&lt;&gt;0,(AH55)/(AH53-(0)),0)</f>
        <v>8.2000793117294919E-3</v>
      </c>
      <c r="AI58" s="12">
        <f>IF((AI53-(0))&lt;&gt;0,(AI55)/(AI53-(0)),0)</f>
        <v>0</v>
      </c>
      <c r="AJ58" s="12">
        <f ca="1">IF((AJ53-(0))&lt;&gt;0,(AJ55)/(AJ53-(0)),0)</f>
        <v>0</v>
      </c>
      <c r="AK58" s="12">
        <f ca="1">IF((AK53-(0))&lt;&gt;0,(AK55)/(AK53-(0)),0)</f>
        <v>0</v>
      </c>
      <c r="AL58" s="12"/>
      <c r="AM58" s="12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754" priority="55" operator="notEqual">
      <formula>$L$54-$L$57</formula>
    </cfRule>
    <cfRule type="cellIs" dxfId="753" priority="56" operator="equal">
      <formula>$L$54-$L$57</formula>
    </cfRule>
  </conditionalFormatting>
  <conditionalFormatting sqref="M53">
    <cfRule type="cellIs" dxfId="752" priority="53" operator="notEqual">
      <formula>$M$54-$M$57</formula>
    </cfRule>
    <cfRule type="cellIs" dxfId="751" priority="54" operator="equal">
      <formula>$M$54-$M$57</formula>
    </cfRule>
  </conditionalFormatting>
  <conditionalFormatting sqref="N53">
    <cfRule type="cellIs" dxfId="750" priority="51" operator="notEqual">
      <formula>$N$54-$N$57</formula>
    </cfRule>
    <cfRule type="cellIs" dxfId="749" priority="52" operator="equal">
      <formula>$N$54-$N$57</formula>
    </cfRule>
  </conditionalFormatting>
  <conditionalFormatting sqref="O53">
    <cfRule type="cellIs" dxfId="748" priority="49" operator="notEqual">
      <formula>$O$54-$O$57</formula>
    </cfRule>
    <cfRule type="cellIs" dxfId="747" priority="50" operator="equal">
      <formula>$O$54-$O$57</formula>
    </cfRule>
  </conditionalFormatting>
  <conditionalFormatting sqref="P53">
    <cfRule type="cellIs" dxfId="746" priority="47" operator="notEqual">
      <formula>$P$54-$P$57</formula>
    </cfRule>
    <cfRule type="cellIs" dxfId="745" priority="48" operator="equal">
      <formula>$P$54-$P$57</formula>
    </cfRule>
  </conditionalFormatting>
  <conditionalFormatting sqref="Q53">
    <cfRule type="cellIs" dxfId="744" priority="45" operator="notEqual">
      <formula>$Q$54-$Q$57</formula>
    </cfRule>
    <cfRule type="cellIs" dxfId="743" priority="46" operator="equal">
      <formula>$Q$54-$Q$57</formula>
    </cfRule>
  </conditionalFormatting>
  <conditionalFormatting sqref="R53">
    <cfRule type="cellIs" dxfId="742" priority="43" operator="notEqual">
      <formula>$R$54-$R$57</formula>
    </cfRule>
    <cfRule type="cellIs" dxfId="741" priority="44" operator="equal">
      <formula>$R$54-$R$57</formula>
    </cfRule>
  </conditionalFormatting>
  <conditionalFormatting sqref="S53">
    <cfRule type="cellIs" dxfId="740" priority="41" operator="notEqual">
      <formula>$S$54-$S$57</formula>
    </cfRule>
    <cfRule type="cellIs" dxfId="739" priority="42" operator="equal">
      <formula>$S$54-$S$57</formula>
    </cfRule>
  </conditionalFormatting>
  <conditionalFormatting sqref="T53">
    <cfRule type="cellIs" dxfId="738" priority="39" operator="notEqual">
      <formula>$T$54-$T$57</formula>
    </cfRule>
    <cfRule type="cellIs" dxfId="737" priority="40" operator="equal">
      <formula>$T$54-$T$57</formula>
    </cfRule>
  </conditionalFormatting>
  <conditionalFormatting sqref="U53">
    <cfRule type="cellIs" dxfId="736" priority="37" operator="notEqual">
      <formula>$U$54-$U$57</formula>
    </cfRule>
    <cfRule type="cellIs" dxfId="735" priority="38" operator="equal">
      <formula>$U$54-$U$57</formula>
    </cfRule>
  </conditionalFormatting>
  <conditionalFormatting sqref="V53">
    <cfRule type="cellIs" dxfId="734" priority="35" operator="notEqual">
      <formula>$V$54-$V$57</formula>
    </cfRule>
    <cfRule type="cellIs" dxfId="733" priority="36" operator="equal">
      <formula>$V$54-$V$57</formula>
    </cfRule>
  </conditionalFormatting>
  <conditionalFormatting sqref="W53">
    <cfRule type="cellIs" dxfId="732" priority="33" operator="notEqual">
      <formula>$W$54-$W$57</formula>
    </cfRule>
    <cfRule type="cellIs" dxfId="731" priority="34" operator="equal">
      <formula>$W$54-$W$57</formula>
    </cfRule>
  </conditionalFormatting>
  <conditionalFormatting sqref="X53">
    <cfRule type="cellIs" dxfId="730" priority="31" operator="notEqual">
      <formula>$X$54-$X$57</formula>
    </cfRule>
    <cfRule type="cellIs" dxfId="729" priority="32" operator="equal">
      <formula>$X$54-$X$57</formula>
    </cfRule>
  </conditionalFormatting>
  <conditionalFormatting sqref="Y53">
    <cfRule type="cellIs" dxfId="728" priority="29" operator="notEqual">
      <formula>$Y$54-$Y$57</formula>
    </cfRule>
    <cfRule type="cellIs" dxfId="727" priority="30" operator="equal">
      <formula>$Y$54-$Y$57</formula>
    </cfRule>
  </conditionalFormatting>
  <conditionalFormatting sqref="Z53">
    <cfRule type="cellIs" dxfId="726" priority="27" operator="notEqual">
      <formula>$Z$54-$Z$57</formula>
    </cfRule>
    <cfRule type="cellIs" dxfId="725" priority="28" operator="equal">
      <formula>$Z$54-$Z$57</formula>
    </cfRule>
  </conditionalFormatting>
  <conditionalFormatting sqref="AA53">
    <cfRule type="cellIs" dxfId="724" priority="25" operator="notEqual">
      <formula>$AA$54-$AA$57</formula>
    </cfRule>
    <cfRule type="cellIs" dxfId="723" priority="26" operator="equal">
      <formula>$AA$54-$AA$57</formula>
    </cfRule>
  </conditionalFormatting>
  <conditionalFormatting sqref="AB53">
    <cfRule type="cellIs" dxfId="722" priority="23" operator="notEqual">
      <formula>$AB$54-$AB$57</formula>
    </cfRule>
    <cfRule type="cellIs" dxfId="721" priority="24" operator="equal">
      <formula>$AB$54-$AB$57</formula>
    </cfRule>
  </conditionalFormatting>
  <conditionalFormatting sqref="AC53">
    <cfRule type="cellIs" dxfId="720" priority="21" operator="notEqual">
      <formula>$AC$54-$AC$57</formula>
    </cfRule>
    <cfRule type="cellIs" dxfId="719" priority="22" operator="equal">
      <formula>$AC$54-$AC$57</formula>
    </cfRule>
  </conditionalFormatting>
  <conditionalFormatting sqref="AD53">
    <cfRule type="cellIs" dxfId="718" priority="19" operator="notEqual">
      <formula>$AD$54-$AD$57</formula>
    </cfRule>
    <cfRule type="cellIs" dxfId="717" priority="20" operator="equal">
      <formula>$AD$54-$AD$57</formula>
    </cfRule>
  </conditionalFormatting>
  <conditionalFormatting sqref="AE53">
    <cfRule type="cellIs" dxfId="716" priority="17" operator="notEqual">
      <formula>$AE$54-$AE$57</formula>
    </cfRule>
    <cfRule type="cellIs" dxfId="715" priority="18" operator="equal">
      <formula>$AE$54-$AE$57</formula>
    </cfRule>
  </conditionalFormatting>
  <conditionalFormatting sqref="AF53">
    <cfRule type="cellIs" dxfId="714" priority="16" operator="equal">
      <formula>$AF$54-$AF$57</formula>
    </cfRule>
  </conditionalFormatting>
  <conditionalFormatting sqref="AF53">
    <cfRule type="cellIs" dxfId="713" priority="15" operator="notEqual">
      <formula>$AF$54-$AF$57</formula>
    </cfRule>
  </conditionalFormatting>
  <conditionalFormatting sqref="AG53">
    <cfRule type="cellIs" dxfId="712" priority="14" operator="equal">
      <formula>$AG$54-$AG$57</formula>
    </cfRule>
  </conditionalFormatting>
  <conditionalFormatting sqref="AG53">
    <cfRule type="cellIs" dxfId="711" priority="13" operator="notEqual">
      <formula>$AG$54-$AG$57</formula>
    </cfRule>
  </conditionalFormatting>
  <conditionalFormatting sqref="AH53">
    <cfRule type="cellIs" dxfId="710" priority="12" operator="equal">
      <formula>$AH$54-$AH$57</formula>
    </cfRule>
  </conditionalFormatting>
  <conditionalFormatting sqref="AH53">
    <cfRule type="cellIs" dxfId="709" priority="11" operator="notEqual">
      <formula>$AH$54-$AH$57</formula>
    </cfRule>
  </conditionalFormatting>
  <conditionalFormatting sqref="AI53">
    <cfRule type="cellIs" dxfId="708" priority="10" operator="equal">
      <formula>$AI$54-$AI$57</formula>
    </cfRule>
  </conditionalFormatting>
  <conditionalFormatting sqref="AI53">
    <cfRule type="cellIs" dxfId="707" priority="9" operator="notEqual">
      <formula>$AI$54-$AI$57</formula>
    </cfRule>
  </conditionalFormatting>
  <conditionalFormatting sqref="AJ53">
    <cfRule type="cellIs" dxfId="706" priority="8" operator="equal">
      <formula>$AJ$54-$AJ$57</formula>
    </cfRule>
  </conditionalFormatting>
  <conditionalFormatting sqref="AJ53">
    <cfRule type="cellIs" dxfId="705" priority="7" operator="notEqual">
      <formula>$AJ$54-$AJ$57</formula>
    </cfRule>
  </conditionalFormatting>
  <conditionalFormatting sqref="AK53">
    <cfRule type="cellIs" dxfId="704" priority="6" operator="equal">
      <formula>$AK$54-$AK$57</formula>
    </cfRule>
  </conditionalFormatting>
  <conditionalFormatting sqref="AK53">
    <cfRule type="cellIs" dxfId="703" priority="5" operator="notEqual">
      <formula>$AK$54-$AK$57</formula>
    </cfRule>
  </conditionalFormatting>
  <conditionalFormatting sqref="AL53">
    <cfRule type="cellIs" dxfId="702" priority="4" operator="equal">
      <formula>$AL$54-$AL$57</formula>
    </cfRule>
  </conditionalFormatting>
  <conditionalFormatting sqref="AL53">
    <cfRule type="cellIs" dxfId="701" priority="3" operator="notEqual">
      <formula>$AL$54-$AL$57</formula>
    </cfRule>
  </conditionalFormatting>
  <conditionalFormatting sqref="AM53">
    <cfRule type="cellIs" dxfId="700" priority="2" operator="equal">
      <formula>$AM$54-$AM$57</formula>
    </cfRule>
  </conditionalFormatting>
  <conditionalFormatting sqref="AM53">
    <cfRule type="cellIs" dxfId="699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  <vt:lpstr>TA - Aplicação</vt:lpstr>
      <vt:lpstr>TA - BE</vt:lpstr>
      <vt:lpstr>TA - 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2022-09-09T20:21:17Z</dcterms:created>
  <dcterms:modified xsi:type="dcterms:W3CDTF">2022-09-16T14:11:10Z</dcterms:modified>
</cp:coreProperties>
</file>